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Administration\CIP\2020\"/>
    </mc:Choice>
  </mc:AlternateContent>
  <bookViews>
    <workbookView xWindow="25080" yWindow="-120" windowWidth="25440" windowHeight="15396" tabRatio="931" firstSheet="3" activeTab="10"/>
  </bookViews>
  <sheets>
    <sheet name="Cover" sheetId="27" r:id="rId1"/>
    <sheet name="Comments" sheetId="39" state="hidden" r:id="rId2"/>
    <sheet name="2021 Cash Reserve Summary" sheetId="37" r:id="rId3"/>
    <sheet name="7 Yr Summary" sheetId="38" r:id="rId4"/>
    <sheet name="Cemetery Expansion" sheetId="43" r:id="rId5"/>
    <sheet name="DPW-CEM Equip" sheetId="2" r:id="rId6"/>
    <sheet name="DPW Fleet" sheetId="57" r:id="rId7"/>
    <sheet name="DPW Facilities" sheetId="12" r:id="rId8"/>
    <sheet name="DPW Road Rehab" sheetId="29" r:id="rId9"/>
    <sheet name="DPW Muni Trans &amp; Snow SW Fd" sheetId="30" r:id="rId10"/>
    <sheet name="DPW Road Maint. - MEMO" sheetId="49" r:id="rId11"/>
    <sheet name="DPW Sidewalks" sheetId="51" r:id="rId12"/>
    <sheet name="DPW Town Dams" sheetId="26" r:id="rId13"/>
    <sheet name="DPW Bridges" sheetId="24" r:id="rId14"/>
    <sheet name="DPW Covered Br" sheetId="25" r:id="rId15"/>
    <sheet name="EM Fac &amp; Com" sheetId="13" r:id="rId16"/>
    <sheet name="Fire Trucks" sheetId="4" r:id="rId17"/>
    <sheet name="Fire Fleet" sheetId="54" r:id="rId18"/>
    <sheet name="Fire Ponds" sheetId="18" r:id="rId19"/>
    <sheet name="Pond Comments" sheetId="59" r:id="rId20"/>
    <sheet name="Fire Tools" sheetId="19" r:id="rId21"/>
    <sheet name="Fire Sta CR" sheetId="40" r:id="rId22"/>
    <sheet name=" Fire Sta. Maint ET" sheetId="20" r:id="rId23"/>
    <sheet name="PD Cruisers" sheetId="7" r:id="rId24"/>
    <sheet name="Police Fleet" sheetId="56" r:id="rId25"/>
    <sheet name="PD Other" sheetId="35" r:id="rId26"/>
    <sheet name="Town IMS" sheetId="32" r:id="rId27"/>
    <sheet name="Town Hall Expansion-Repairs" sheetId="3" r:id="rId28"/>
    <sheet name="Rail Trails" sheetId="50" r:id="rId29"/>
    <sheet name="Recreation" sheetId="8" r:id="rId30"/>
    <sheet name="Recycling" sheetId="47" r:id="rId31"/>
    <sheet name="Recycling Comments" sheetId="58" r:id="rId32"/>
    <sheet name="Lib-MCUL" sheetId="5" r:id="rId33"/>
    <sheet name="Lib-SFL" sheetId="6" r:id="rId34"/>
    <sheet name="CH" sheetId="33" r:id="rId35"/>
    <sheet name="Cons. Land Acq" sheetId="15" r:id="rId36"/>
    <sheet name="Grange" sheetId="52" r:id="rId37"/>
    <sheet name="WH" sheetId="31" r:id="rId38"/>
  </sheets>
  <definedNames>
    <definedName name="_xlnm.Print_Area" localSheetId="22">' Fire Sta. Maint ET'!$A$1:$J$25</definedName>
    <definedName name="_xlnm.Print_Area" localSheetId="2">'2021 Cash Reserve Summary'!$A$1:$I$50</definedName>
    <definedName name="_xlnm.Print_Area" localSheetId="3">'7 Yr Summary'!$A$1:$I$87,'7 Yr Summary'!$J$51:$P$84</definedName>
    <definedName name="_xlnm.Print_Area" localSheetId="4">'Cemetery Expansion'!$A$1:$J$22</definedName>
    <definedName name="_xlnm.Print_Area" localSheetId="34">CH!$A$1:$J$22</definedName>
    <definedName name="_xlnm.Print_Area" localSheetId="1">Comments!$A$1:$L$33</definedName>
    <definedName name="_xlnm.Print_Area" localSheetId="35">'Cons. Land Acq'!$A$1:$J$18</definedName>
    <definedName name="_xlnm.Print_Area" localSheetId="0">Cover!$A$1:$G$31</definedName>
    <definedName name="_xlnm.Print_Area" localSheetId="13">'DPW Bridges'!$A$1:$J$25</definedName>
    <definedName name="_xlnm.Print_Area" localSheetId="14">'DPW Covered Br'!$A$1:$J$23</definedName>
    <definedName name="_xlnm.Print_Area" localSheetId="7">'DPW Facilities'!$A$1:$J$23</definedName>
    <definedName name="_xlnm.Print_Area" localSheetId="9">'DPW Muni Trans &amp; Snow SW Fd'!$A$1:$J$28</definedName>
    <definedName name="_xlnm.Print_Area" localSheetId="10">'DPW Road Maint. - MEMO'!$A$1:$J$30</definedName>
    <definedName name="_xlnm.Print_Area" localSheetId="8">'DPW Road Rehab'!$A$1:$J$32</definedName>
    <definedName name="_xlnm.Print_Area" localSheetId="11">'DPW Sidewalks'!$A$1:$J$24</definedName>
    <definedName name="_xlnm.Print_Area" localSheetId="12">'DPW Town Dams'!$A$1:$J$23</definedName>
    <definedName name="_xlnm.Print_Area" localSheetId="5">'DPW-CEM Equip'!$A$1:$J$31</definedName>
    <definedName name="_xlnm.Print_Area" localSheetId="15">'EM Fac &amp; Com'!$A$1:$J$32</definedName>
    <definedName name="_xlnm.Print_Area" localSheetId="18">'Fire Ponds'!$A$1:$J$24</definedName>
    <definedName name="_xlnm.Print_Area" localSheetId="21">'Fire Sta CR'!$A$1:$L$34</definedName>
    <definedName name="_xlnm.Print_Area" localSheetId="20">'Fire Tools'!$A$1:$J$25</definedName>
    <definedName name="_xlnm.Print_Area" localSheetId="16">'Fire Trucks'!$A$1:$J$27</definedName>
    <definedName name="_xlnm.Print_Area" localSheetId="36">Grange!$A$1:$J$20</definedName>
    <definedName name="_xlnm.Print_Area" localSheetId="32">'Lib-MCUL'!$A$1:$J$27</definedName>
    <definedName name="_xlnm.Print_Area" localSheetId="33">'Lib-SFL'!$A$1:$J$23</definedName>
    <definedName name="_xlnm.Print_Area" localSheetId="23">'PD Cruisers'!$A$1:$J$28</definedName>
    <definedName name="_xlnm.Print_Area" localSheetId="25">'PD Other'!$A$1:$J$30</definedName>
    <definedName name="_xlnm.Print_Area" localSheetId="19">'Pond Comments'!$A$1:$A$10</definedName>
    <definedName name="_xlnm.Print_Area" localSheetId="28">'Rail Trails'!$A$1:$J$21</definedName>
    <definedName name="_xlnm.Print_Area" localSheetId="29">Recreation!$A$1:$J$25</definedName>
    <definedName name="_xlnm.Print_Area" localSheetId="30">Recycling!$A$1:$J$29</definedName>
    <definedName name="_xlnm.Print_Area" localSheetId="27">'Town Hall Expansion-Repairs'!$A$1:$J$25</definedName>
    <definedName name="_xlnm.Print_Area" localSheetId="26">'Town IMS'!$A$1:$J$19</definedName>
    <definedName name="_xlnm.Print_Area" localSheetId="37">WH!$A$1:$J$18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6" i="37" l="1"/>
  <c r="F57" i="37"/>
  <c r="F58" i="37"/>
  <c r="F60" i="37"/>
  <c r="F55" i="37"/>
  <c r="E45" i="37"/>
  <c r="D46" i="38" s="1"/>
  <c r="F63" i="38" l="1"/>
  <c r="K36" i="38" l="1"/>
  <c r="K38" i="38"/>
  <c r="K39" i="38"/>
  <c r="K29" i="38"/>
  <c r="L29" i="38" s="1"/>
  <c r="L36" i="38"/>
  <c r="L38" i="38"/>
  <c r="L39" i="38"/>
  <c r="K44" i="38"/>
  <c r="K47" i="38"/>
  <c r="K9" i="38"/>
  <c r="L9" i="38" s="1"/>
  <c r="K14" i="38"/>
  <c r="L14" i="38" s="1"/>
  <c r="K15" i="38"/>
  <c r="L15" i="38" s="1"/>
  <c r="K17" i="38"/>
  <c r="L17" i="38" s="1"/>
  <c r="K19" i="38"/>
  <c r="L19" i="38" s="1"/>
  <c r="K24" i="38"/>
  <c r="L24" i="38"/>
  <c r="K26" i="38"/>
  <c r="L26" i="38"/>
  <c r="F19" i="18"/>
  <c r="G19" i="18"/>
  <c r="H19" i="18"/>
  <c r="B106" i="38" l="1"/>
  <c r="B107" i="38" s="1"/>
  <c r="F20" i="37" l="1"/>
  <c r="K31" i="40" l="1"/>
  <c r="K34" i="40" s="1"/>
  <c r="K32" i="40"/>
  <c r="H33" i="40" l="1"/>
  <c r="D37" i="40" l="1"/>
  <c r="D38" i="40" s="1"/>
  <c r="F34" i="40"/>
  <c r="C25" i="40"/>
  <c r="C34" i="40" l="1"/>
  <c r="D17" i="12" l="1"/>
  <c r="E17" i="12" s="1"/>
  <c r="F17" i="12" s="1"/>
  <c r="G17" i="12" s="1"/>
  <c r="H17" i="12" s="1"/>
  <c r="N66" i="38" l="1"/>
  <c r="F94" i="38" l="1"/>
  <c r="J67" i="38" l="1"/>
  <c r="N68" i="38"/>
  <c r="O68" i="38" s="1"/>
  <c r="J68" i="38"/>
  <c r="J69" i="38"/>
  <c r="F65" i="38" l="1"/>
  <c r="G65" i="38"/>
  <c r="H65" i="38" s="1"/>
  <c r="I65" i="38" s="1"/>
  <c r="D45" i="37"/>
  <c r="E18" i="6" l="1"/>
  <c r="F18" i="6" s="1"/>
  <c r="G18" i="6" s="1"/>
  <c r="H18" i="6" s="1"/>
  <c r="D18" i="6"/>
  <c r="C13" i="6"/>
  <c r="C17" i="40" l="1"/>
  <c r="D10" i="13" l="1"/>
  <c r="E10" i="13"/>
  <c r="F10" i="13"/>
  <c r="C10" i="13"/>
  <c r="D11" i="13"/>
  <c r="E11" i="13"/>
  <c r="E12" i="13"/>
  <c r="C12" i="13"/>
  <c r="G26" i="33" l="1"/>
  <c r="C11" i="13" l="1"/>
  <c r="P15" i="13" l="1"/>
  <c r="P13" i="13"/>
  <c r="P11" i="13"/>
  <c r="E16" i="52" l="1"/>
  <c r="F16" i="52"/>
  <c r="G16" i="52"/>
  <c r="H16" i="52"/>
  <c r="N73" i="38" l="1"/>
  <c r="O73" i="38" s="1"/>
  <c r="I69" i="38" s="1"/>
  <c r="F30" i="4"/>
  <c r="F33" i="4" s="1"/>
  <c r="G30" i="4"/>
  <c r="G33" i="4" s="1"/>
  <c r="H30" i="4"/>
  <c r="H33" i="4"/>
  <c r="D7" i="38" l="1"/>
  <c r="C16" i="38"/>
  <c r="C37" i="37" l="1"/>
  <c r="D77" i="58" l="1"/>
  <c r="D72" i="58"/>
  <c r="F71" i="58"/>
  <c r="E72" i="58" s="1"/>
  <c r="D67" i="58"/>
  <c r="F66" i="58" s="1"/>
  <c r="E61" i="58"/>
  <c r="F60" i="58"/>
  <c r="D58" i="58"/>
  <c r="F57" i="58"/>
  <c r="E58" i="58" s="1"/>
  <c r="D51" i="58"/>
  <c r="F50" i="58" s="1"/>
  <c r="D47" i="58"/>
  <c r="F46" i="58"/>
  <c r="E47" i="58" s="1"/>
  <c r="F40" i="58"/>
  <c r="D38" i="58"/>
  <c r="F37" i="58"/>
  <c r="E38" i="58" s="1"/>
  <c r="D29" i="58"/>
  <c r="D23" i="58"/>
  <c r="F22" i="58"/>
  <c r="E23" i="58" s="1"/>
  <c r="D17" i="58"/>
  <c r="E17" i="58" s="1"/>
  <c r="F16" i="58"/>
  <c r="D10" i="58"/>
  <c r="F9" i="58"/>
  <c r="E10" i="58" s="1"/>
  <c r="D5" i="58"/>
  <c r="E5" i="58" l="1"/>
  <c r="E77" i="58"/>
  <c r="F4" i="58"/>
  <c r="F28" i="58"/>
  <c r="E29" i="58" s="1"/>
  <c r="E51" i="58"/>
  <c r="E67" i="58"/>
  <c r="F76" i="58"/>
  <c r="D18" i="24" l="1"/>
  <c r="F18" i="24" s="1"/>
  <c r="G18" i="24" s="1"/>
  <c r="E24" i="30" l="1"/>
  <c r="D16" i="31"/>
  <c r="E16" i="31"/>
  <c r="F16" i="31"/>
  <c r="G16" i="31"/>
  <c r="H16" i="31"/>
  <c r="C16" i="31"/>
  <c r="D8" i="31"/>
  <c r="E8" i="31"/>
  <c r="F8" i="31"/>
  <c r="G8" i="31"/>
  <c r="H8" i="31"/>
  <c r="D28" i="49" l="1"/>
  <c r="E28" i="49"/>
  <c r="F28" i="49"/>
  <c r="G28" i="49"/>
  <c r="H28" i="49"/>
  <c r="C28" i="49"/>
  <c r="C6" i="30" l="1"/>
  <c r="F21" i="57" l="1"/>
  <c r="F13" i="56" l="1"/>
  <c r="D7" i="7" l="1"/>
  <c r="D6" i="7"/>
  <c r="E6" i="7" s="1"/>
  <c r="F6" i="7" s="1"/>
  <c r="G6" i="7" s="1"/>
  <c r="H6" i="7" s="1"/>
  <c r="D22" i="19" l="1"/>
  <c r="D26" i="19" s="1"/>
  <c r="F22" i="19"/>
  <c r="F18" i="54" l="1"/>
  <c r="F12" i="25" l="1"/>
  <c r="G12" i="25"/>
  <c r="D30" i="38" l="1"/>
  <c r="E30" i="38" s="1"/>
  <c r="F30" i="38" s="1"/>
  <c r="G30" i="38" s="1"/>
  <c r="H30" i="38" s="1"/>
  <c r="I30" i="38" s="1"/>
  <c r="F29" i="13" l="1"/>
  <c r="E6" i="30"/>
  <c r="F6" i="30"/>
  <c r="G6" i="30"/>
  <c r="H6" i="30"/>
  <c r="O66" i="38" l="1"/>
  <c r="D63" i="38" s="1"/>
  <c r="G63" i="38" l="1"/>
  <c r="H63" i="38" s="1"/>
  <c r="I63" i="38" s="1"/>
  <c r="F24" i="30"/>
  <c r="H25" i="30" l="1"/>
  <c r="G25" i="30"/>
  <c r="F25" i="30"/>
  <c r="E25" i="30"/>
  <c r="D25" i="30"/>
  <c r="C25" i="30"/>
  <c r="C26" i="30" s="1"/>
  <c r="D21" i="30" s="1"/>
  <c r="D22" i="30"/>
  <c r="E22" i="30" s="1"/>
  <c r="F22" i="30" s="1"/>
  <c r="G22" i="30" s="1"/>
  <c r="H22" i="30" s="1"/>
  <c r="D26" i="30" l="1"/>
  <c r="E21" i="30" s="1"/>
  <c r="E26" i="30" s="1"/>
  <c r="F21" i="30" s="1"/>
  <c r="F26" i="30" s="1"/>
  <c r="G21" i="30" s="1"/>
  <c r="G26" i="30" s="1"/>
  <c r="H21" i="30" s="1"/>
  <c r="H26" i="30" s="1"/>
  <c r="N67" i="38"/>
  <c r="J28" i="49" l="1"/>
  <c r="D5" i="49"/>
  <c r="E5" i="49" s="1"/>
  <c r="F5" i="49" s="1"/>
  <c r="G5" i="49" s="1"/>
  <c r="H5" i="49" s="1"/>
  <c r="I28" i="49" l="1"/>
  <c r="N70" i="38"/>
  <c r="N71" i="38"/>
  <c r="G24" i="29"/>
  <c r="H24" i="29" s="1"/>
  <c r="J24" i="29" s="1"/>
  <c r="D6" i="30"/>
  <c r="D21" i="8"/>
  <c r="E21" i="8" s="1"/>
  <c r="F21" i="8" s="1"/>
  <c r="G21" i="8" s="1"/>
  <c r="H21" i="8" s="1"/>
  <c r="C32" i="29" l="1"/>
  <c r="D32" i="29" l="1"/>
  <c r="J10" i="52"/>
  <c r="E32" i="29" l="1"/>
  <c r="C8" i="37"/>
  <c r="C7" i="37"/>
  <c r="C6" i="37"/>
  <c r="F32" i="29" l="1"/>
  <c r="H32" i="29" l="1"/>
  <c r="J32" i="29" s="1"/>
  <c r="G32" i="29"/>
  <c r="O72" i="38"/>
  <c r="H68" i="38" s="1"/>
  <c r="J61" i="38" l="1"/>
  <c r="O61" i="38"/>
  <c r="E59" i="38" s="1"/>
  <c r="D59" i="38" s="1"/>
  <c r="C59" i="38" s="1"/>
  <c r="F59" i="38" l="1"/>
  <c r="G59" i="38" s="1"/>
  <c r="H59" i="38" s="1"/>
  <c r="I59" i="38" s="1"/>
  <c r="C18" i="29"/>
  <c r="E34" i="38" l="1"/>
  <c r="D34" i="38"/>
  <c r="E33" i="37"/>
  <c r="E46" i="38"/>
  <c r="F45" i="37"/>
  <c r="F33" i="37" l="1"/>
  <c r="K34" i="38"/>
  <c r="L34" i="38"/>
  <c r="D23" i="38"/>
  <c r="D41" i="38"/>
  <c r="D37" i="38"/>
  <c r="D10" i="38"/>
  <c r="D12" i="38"/>
  <c r="C45" i="38"/>
  <c r="C7" i="38"/>
  <c r="C9" i="38"/>
  <c r="C10" i="38"/>
  <c r="C14" i="38"/>
  <c r="C15" i="38"/>
  <c r="C22" i="38"/>
  <c r="C26" i="38"/>
  <c r="C27" i="38"/>
  <c r="C28" i="38"/>
  <c r="C32" i="38"/>
  <c r="C37" i="38"/>
  <c r="C38" i="38"/>
  <c r="C40" i="38"/>
  <c r="C41" i="38"/>
  <c r="C34" i="37"/>
  <c r="D34" i="37"/>
  <c r="C35" i="38" s="1"/>
  <c r="C33" i="38"/>
  <c r="D26" i="37"/>
  <c r="C25" i="38" s="1"/>
  <c r="E36" i="37"/>
  <c r="K37" i="38" s="1"/>
  <c r="E40" i="37"/>
  <c r="C40" i="37"/>
  <c r="L37" i="38" l="1"/>
  <c r="F40" i="37"/>
  <c r="K41" i="38"/>
  <c r="L41" i="38"/>
  <c r="C43" i="37"/>
  <c r="D24" i="37"/>
  <c r="C23" i="38" s="1"/>
  <c r="C23" i="37"/>
  <c r="E24" i="37"/>
  <c r="K23" i="38" s="1"/>
  <c r="L23" i="38" s="1"/>
  <c r="C24" i="37"/>
  <c r="D22" i="37"/>
  <c r="C21" i="38" s="1"/>
  <c r="D21" i="37"/>
  <c r="C20" i="38" s="1"/>
  <c r="C18" i="38"/>
  <c r="F10" i="37"/>
  <c r="E11" i="37"/>
  <c r="E13" i="37"/>
  <c r="K12" i="38" s="1"/>
  <c r="L12" i="38" s="1"/>
  <c r="D13" i="37"/>
  <c r="C12" i="38" s="1"/>
  <c r="D9" i="37"/>
  <c r="C8" i="38" s="1"/>
  <c r="D7" i="37"/>
  <c r="C6" i="38" s="1"/>
  <c r="D6" i="37"/>
  <c r="C5" i="38" s="1"/>
  <c r="F11" i="37" l="1"/>
  <c r="K10" i="38"/>
  <c r="L10" i="38" s="1"/>
  <c r="F24" i="37"/>
  <c r="E12" i="38" l="1"/>
  <c r="F12" i="38" l="1"/>
  <c r="D31" i="13"/>
  <c r="E31" i="13"/>
  <c r="F31" i="13"/>
  <c r="G31" i="13"/>
  <c r="H31" i="13"/>
  <c r="D21" i="35"/>
  <c r="E21" i="35"/>
  <c r="F21" i="35"/>
  <c r="G21" i="35"/>
  <c r="H21" i="35"/>
  <c r="C21" i="35"/>
  <c r="D10" i="33"/>
  <c r="E10" i="33"/>
  <c r="F10" i="33"/>
  <c r="G10" i="33"/>
  <c r="H10" i="33"/>
  <c r="C10" i="33"/>
  <c r="G12" i="38" l="1"/>
  <c r="C17" i="31"/>
  <c r="E23" i="38"/>
  <c r="C16" i="4"/>
  <c r="H12" i="38" l="1"/>
  <c r="D20" i="47"/>
  <c r="D28" i="47" s="1"/>
  <c r="E20" i="47"/>
  <c r="E28" i="47" s="1"/>
  <c r="F20" i="47"/>
  <c r="F28" i="47" s="1"/>
  <c r="G20" i="47"/>
  <c r="G28" i="47" s="1"/>
  <c r="H20" i="47"/>
  <c r="H28" i="47" s="1"/>
  <c r="C20" i="47"/>
  <c r="C28" i="47" s="1"/>
  <c r="F23" i="38" l="1"/>
  <c r="H18" i="24"/>
  <c r="I12" i="38" s="1"/>
  <c r="I20" i="47"/>
  <c r="I22" i="47" s="1"/>
  <c r="G23" i="38" l="1"/>
  <c r="H16" i="8"/>
  <c r="D16" i="8"/>
  <c r="E16" i="8"/>
  <c r="F16" i="8"/>
  <c r="G16" i="8"/>
  <c r="C16" i="8"/>
  <c r="H23" i="40" l="1"/>
  <c r="I23" i="38" s="1"/>
  <c r="H23" i="38"/>
  <c r="J18" i="29"/>
  <c r="J29" i="29" s="1"/>
  <c r="D17" i="52" l="1"/>
  <c r="F17" i="52"/>
  <c r="G17" i="52" s="1"/>
  <c r="H17" i="52" s="1"/>
  <c r="E15" i="52"/>
  <c r="H10" i="52"/>
  <c r="H18" i="52" s="1"/>
  <c r="G10" i="52"/>
  <c r="G18" i="52" s="1"/>
  <c r="F10" i="52"/>
  <c r="F18" i="52" s="1"/>
  <c r="E10" i="52"/>
  <c r="E18" i="52" s="1"/>
  <c r="D10" i="52"/>
  <c r="D18" i="52" s="1"/>
  <c r="C10" i="52"/>
  <c r="C18" i="52" s="1"/>
  <c r="C19" i="52" s="1"/>
  <c r="D14" i="52" s="1"/>
  <c r="D5" i="52"/>
  <c r="E5" i="52" s="1"/>
  <c r="F5" i="52" s="1"/>
  <c r="G5" i="52" s="1"/>
  <c r="H5" i="52" s="1"/>
  <c r="J19" i="2"/>
  <c r="F15" i="52" l="1"/>
  <c r="F46" i="38"/>
  <c r="I10" i="52"/>
  <c r="D19" i="52"/>
  <c r="E14" i="52" s="1"/>
  <c r="E19" i="52" s="1"/>
  <c r="F14" i="52" s="1"/>
  <c r="E10" i="38"/>
  <c r="J13" i="51"/>
  <c r="H13" i="51"/>
  <c r="H22" i="51" s="1"/>
  <c r="G13" i="51"/>
  <c r="G22" i="51" s="1"/>
  <c r="F13" i="51"/>
  <c r="F22" i="51" s="1"/>
  <c r="E13" i="51"/>
  <c r="E22" i="51" s="1"/>
  <c r="D13" i="51"/>
  <c r="D22" i="51" s="1"/>
  <c r="C13" i="51"/>
  <c r="D5" i="51"/>
  <c r="E5" i="51" s="1"/>
  <c r="F5" i="51" s="1"/>
  <c r="G5" i="51" s="1"/>
  <c r="H5" i="51" s="1"/>
  <c r="F19" i="52" l="1"/>
  <c r="G14" i="52" s="1"/>
  <c r="C22" i="51"/>
  <c r="C23" i="51" s="1"/>
  <c r="D17" i="51" s="1"/>
  <c r="D23" i="51" s="1"/>
  <c r="E17" i="51" s="1"/>
  <c r="G15" i="52"/>
  <c r="G46" i="38"/>
  <c r="I13" i="51"/>
  <c r="F18" i="51" l="1"/>
  <c r="F10" i="38"/>
  <c r="H15" i="52"/>
  <c r="I46" i="38" s="1"/>
  <c r="H46" i="38"/>
  <c r="E23" i="51"/>
  <c r="F17" i="51" s="1"/>
  <c r="G19" i="52"/>
  <c r="H14" i="52" s="1"/>
  <c r="N19" i="3"/>
  <c r="H19" i="52" l="1"/>
  <c r="G18" i="51"/>
  <c r="H18" i="51" s="1"/>
  <c r="G10" i="38"/>
  <c r="F23" i="51"/>
  <c r="G17" i="51" s="1"/>
  <c r="J11" i="50"/>
  <c r="H11" i="50"/>
  <c r="H20" i="50" s="1"/>
  <c r="G11" i="50"/>
  <c r="G20" i="50" s="1"/>
  <c r="F11" i="50"/>
  <c r="F20" i="50" s="1"/>
  <c r="E11" i="50"/>
  <c r="E20" i="50" s="1"/>
  <c r="D11" i="50"/>
  <c r="D20" i="50" s="1"/>
  <c r="C11" i="50"/>
  <c r="D5" i="50"/>
  <c r="E5" i="50" s="1"/>
  <c r="F5" i="50" s="1"/>
  <c r="G5" i="50" s="1"/>
  <c r="H5" i="50" s="1"/>
  <c r="F34" i="38" l="1"/>
  <c r="H10" i="38"/>
  <c r="G23" i="51"/>
  <c r="H17" i="51" s="1"/>
  <c r="I11" i="50"/>
  <c r="C20" i="50"/>
  <c r="H23" i="51" l="1"/>
  <c r="I10" i="38"/>
  <c r="G34" i="38"/>
  <c r="C21" i="50"/>
  <c r="D15" i="50" s="1"/>
  <c r="D21" i="50" s="1"/>
  <c r="E15" i="50" s="1"/>
  <c r="E21" i="50" s="1"/>
  <c r="F15" i="50" s="1"/>
  <c r="F21" i="50" s="1"/>
  <c r="G15" i="50" s="1"/>
  <c r="I34" i="38" l="1"/>
  <c r="H34" i="38"/>
  <c r="G21" i="50"/>
  <c r="H15" i="50" s="1"/>
  <c r="H21" i="50" s="1"/>
  <c r="D5" i="32"/>
  <c r="E112" i="38" l="1"/>
  <c r="F112" i="38" s="1"/>
  <c r="G112" i="38" s="1"/>
  <c r="H112" i="38" s="1"/>
  <c r="I112" i="38" s="1"/>
  <c r="E45" i="38" l="1"/>
  <c r="F45" i="38"/>
  <c r="G45" i="38"/>
  <c r="H45" i="38"/>
  <c r="I45" i="38"/>
  <c r="D45" i="38"/>
  <c r="E44" i="37"/>
  <c r="C46" i="37"/>
  <c r="D16" i="4" l="1"/>
  <c r="E16" i="4"/>
  <c r="F16" i="4"/>
  <c r="G16" i="4"/>
  <c r="H16" i="4"/>
  <c r="I16" i="4" l="1"/>
  <c r="D11" i="26"/>
  <c r="E11" i="26"/>
  <c r="F11" i="26"/>
  <c r="G11" i="26"/>
  <c r="H11" i="26"/>
  <c r="C11" i="26"/>
  <c r="E18" i="29" l="1"/>
  <c r="O60" i="38" l="1"/>
  <c r="D22" i="5" l="1"/>
  <c r="E22" i="5" s="1"/>
  <c r="F22" i="5" s="1"/>
  <c r="G22" i="5" s="1"/>
  <c r="H22" i="5" s="1"/>
  <c r="K92" i="38" l="1"/>
  <c r="N65" i="38" l="1"/>
  <c r="N8" i="39" s="1"/>
  <c r="O65" i="38" l="1"/>
  <c r="E62" i="38" s="1"/>
  <c r="D62" i="38" s="1"/>
  <c r="N74" i="38"/>
  <c r="C70" i="38" l="1"/>
  <c r="F62" i="38"/>
  <c r="G62" i="38" s="1"/>
  <c r="H62" i="38" s="1"/>
  <c r="I62" i="38" s="1"/>
  <c r="D25" i="47" l="1"/>
  <c r="J20" i="47"/>
  <c r="D5" i="47"/>
  <c r="E5" i="47" s="1"/>
  <c r="F5" i="47" s="1"/>
  <c r="G5" i="47" s="1"/>
  <c r="H5" i="47" s="1"/>
  <c r="E25" i="47" l="1"/>
  <c r="E37" i="38"/>
  <c r="C29" i="47"/>
  <c r="D24" i="47" s="1"/>
  <c r="D29" i="47" s="1"/>
  <c r="E24" i="47" s="1"/>
  <c r="E29" i="47" l="1"/>
  <c r="F24" i="47" s="1"/>
  <c r="F25" i="47"/>
  <c r="F37" i="38"/>
  <c r="L92" i="38"/>
  <c r="G25" i="47" l="1"/>
  <c r="G37" i="38"/>
  <c r="F29" i="47"/>
  <c r="G24" i="47" s="1"/>
  <c r="G29" i="47" l="1"/>
  <c r="H24" i="47" s="1"/>
  <c r="H25" i="47"/>
  <c r="I37" i="38" s="1"/>
  <c r="H37" i="38"/>
  <c r="C16" i="20"/>
  <c r="C23" i="20" s="1"/>
  <c r="C24" i="40" s="1"/>
  <c r="E67" i="38"/>
  <c r="F67" i="38"/>
  <c r="H29" i="47" l="1"/>
  <c r="J56" i="38"/>
  <c r="J57" i="38"/>
  <c r="J58" i="38"/>
  <c r="J59" i="38"/>
  <c r="M69" i="38"/>
  <c r="L69" i="38"/>
  <c r="O59" i="38"/>
  <c r="J60" i="38"/>
  <c r="J70" i="38"/>
  <c r="J65" i="38"/>
  <c r="J72" i="38"/>
  <c r="N59" i="38"/>
  <c r="M59" i="38"/>
  <c r="L59" i="38"/>
  <c r="O67" i="38"/>
  <c r="E63" i="38" s="1"/>
  <c r="E70" i="38" l="1"/>
  <c r="F64" i="38"/>
  <c r="G64" i="38"/>
  <c r="D67" i="38"/>
  <c r="D70" i="38" s="1"/>
  <c r="D51" i="38"/>
  <c r="D29" i="19"/>
  <c r="C10" i="15"/>
  <c r="C16" i="15" s="1"/>
  <c r="C17" i="15" s="1"/>
  <c r="C44" i="37" s="1"/>
  <c r="E51" i="38" l="1"/>
  <c r="F51" i="38" s="1"/>
  <c r="G51" i="38" s="1"/>
  <c r="H51" i="38" s="1"/>
  <c r="I51" i="38" s="1"/>
  <c r="D82" i="38"/>
  <c r="E82" i="38" s="1"/>
  <c r="F82" i="38" s="1"/>
  <c r="G82" i="38" s="1"/>
  <c r="H82" i="38" s="1"/>
  <c r="I82" i="38" s="1"/>
  <c r="D13" i="15"/>
  <c r="N22" i="3"/>
  <c r="E46" i="37"/>
  <c r="K45" i="38" s="1"/>
  <c r="L45" i="38" s="1"/>
  <c r="D19" i="6"/>
  <c r="C25" i="13"/>
  <c r="F26" i="12"/>
  <c r="G19" i="2"/>
  <c r="I55" i="38"/>
  <c r="I60" i="38" s="1"/>
  <c r="D2" i="38"/>
  <c r="E19" i="6" l="1"/>
  <c r="E41" i="38"/>
  <c r="H64" i="38"/>
  <c r="O70" i="38"/>
  <c r="F29" i="12"/>
  <c r="I64" i="38" l="1"/>
  <c r="F19" i="6"/>
  <c r="F41" i="38"/>
  <c r="I10" i="33"/>
  <c r="H67" i="38"/>
  <c r="G67" i="38" s="1"/>
  <c r="F22" i="8"/>
  <c r="I67" i="38" l="1"/>
  <c r="G19" i="6"/>
  <c r="G41" i="38"/>
  <c r="C27" i="37"/>
  <c r="H19" i="6" l="1"/>
  <c r="I41" i="38" s="1"/>
  <c r="H41" i="38"/>
  <c r="N6" i="2"/>
  <c r="D21" i="20" l="1"/>
  <c r="E21" i="20" s="1"/>
  <c r="F21" i="20" s="1"/>
  <c r="G21" i="20" s="1"/>
  <c r="H21" i="20" s="1"/>
  <c r="E8" i="37" l="1"/>
  <c r="H14" i="43"/>
  <c r="H20" i="43" s="1"/>
  <c r="G14" i="43"/>
  <c r="G20" i="43" s="1"/>
  <c r="F14" i="43"/>
  <c r="F20" i="43" s="1"/>
  <c r="E14" i="43"/>
  <c r="E20" i="43" s="1"/>
  <c r="D14" i="43"/>
  <c r="D20" i="43" s="1"/>
  <c r="C14" i="43"/>
  <c r="D5" i="43"/>
  <c r="E5" i="43" s="1"/>
  <c r="F5" i="43" s="1"/>
  <c r="G5" i="43" s="1"/>
  <c r="H5" i="43" s="1"/>
  <c r="F8" i="37" l="1"/>
  <c r="K7" i="38"/>
  <c r="L7" i="38" s="1"/>
  <c r="E7" i="38"/>
  <c r="C20" i="43"/>
  <c r="C21" i="43" s="1"/>
  <c r="D18" i="43" s="1"/>
  <c r="D21" i="43" s="1"/>
  <c r="E18" i="43" s="1"/>
  <c r="I14" i="43"/>
  <c r="E21" i="43" l="1"/>
  <c r="F18" i="43" s="1"/>
  <c r="F19" i="43"/>
  <c r="F7" i="38"/>
  <c r="C21" i="3"/>
  <c r="C31" i="37" s="1"/>
  <c r="F21" i="43" l="1"/>
  <c r="G18" i="43" s="1"/>
  <c r="G19" i="43"/>
  <c r="G7" i="38"/>
  <c r="B32" i="38"/>
  <c r="G21" i="43" l="1"/>
  <c r="H18" i="43" s="1"/>
  <c r="H19" i="43"/>
  <c r="I7" i="38" s="1"/>
  <c r="H7" i="38"/>
  <c r="E44" i="38"/>
  <c r="F44" i="38"/>
  <c r="C44" i="38"/>
  <c r="C48" i="38" s="1"/>
  <c r="D44" i="38"/>
  <c r="L44" i="38" s="1"/>
  <c r="E43" i="37"/>
  <c r="F17" i="33"/>
  <c r="G44" i="38" s="1"/>
  <c r="H21" i="43" l="1"/>
  <c r="G17" i="33"/>
  <c r="H17" i="33" s="1"/>
  <c r="I44" i="38" s="1"/>
  <c r="D15" i="33"/>
  <c r="E15" i="33" s="1"/>
  <c r="F15" i="33" s="1"/>
  <c r="G15" i="33" s="1"/>
  <c r="H15" i="33" s="1"/>
  <c r="H44" i="38" l="1"/>
  <c r="J17" i="40"/>
  <c r="D5" i="40"/>
  <c r="E5" i="40" s="1"/>
  <c r="F5" i="40" s="1"/>
  <c r="G5" i="40" s="1"/>
  <c r="H5" i="40" s="1"/>
  <c r="D20" i="19" l="1"/>
  <c r="E20" i="19" s="1"/>
  <c r="F20" i="19" s="1"/>
  <c r="D16" i="26"/>
  <c r="E16" i="26" s="1"/>
  <c r="F16" i="26" s="1"/>
  <c r="G16" i="26" s="1"/>
  <c r="H16" i="26" s="1"/>
  <c r="D18" i="12"/>
  <c r="F18" i="12" s="1"/>
  <c r="G18" i="12" s="1"/>
  <c r="H18" i="12" s="1"/>
  <c r="H20" i="19" l="1"/>
  <c r="D18" i="33"/>
  <c r="E18" i="33"/>
  <c r="F18" i="33"/>
  <c r="H18" i="33"/>
  <c r="C18" i="33"/>
  <c r="G18" i="33" l="1"/>
  <c r="C19" i="33"/>
  <c r="D14" i="33" s="1"/>
  <c r="D19" i="33" s="1"/>
  <c r="E14" i="33" s="1"/>
  <c r="C27" i="35"/>
  <c r="C28" i="35" s="1"/>
  <c r="D25" i="35" s="1"/>
  <c r="D13" i="35"/>
  <c r="E27" i="35"/>
  <c r="F27" i="35"/>
  <c r="H27" i="35"/>
  <c r="E16" i="30"/>
  <c r="F16" i="30" s="1"/>
  <c r="G16" i="30" s="1"/>
  <c r="H16" i="30" s="1"/>
  <c r="D23" i="4"/>
  <c r="E23" i="4" s="1"/>
  <c r="E32" i="38"/>
  <c r="H32" i="38"/>
  <c r="I32" i="38"/>
  <c r="G32" i="38"/>
  <c r="D32" i="38"/>
  <c r="E31" i="37"/>
  <c r="K32" i="38" s="1"/>
  <c r="D14" i="3"/>
  <c r="D24" i="3" s="1"/>
  <c r="E14" i="3"/>
  <c r="E24" i="3" s="1"/>
  <c r="F14" i="3"/>
  <c r="F24" i="3" s="1"/>
  <c r="G14" i="3"/>
  <c r="G24" i="3" s="1"/>
  <c r="H14" i="3"/>
  <c r="H24" i="3" s="1"/>
  <c r="C14" i="3"/>
  <c r="C24" i="3" s="1"/>
  <c r="E34" i="37"/>
  <c r="K35" i="38" s="1"/>
  <c r="E19" i="37"/>
  <c r="E17" i="37"/>
  <c r="E22" i="37"/>
  <c r="K21" i="38" s="1"/>
  <c r="L21" i="38" s="1"/>
  <c r="E23" i="37"/>
  <c r="K22" i="38" s="1"/>
  <c r="L22" i="38" s="1"/>
  <c r="E32" i="37"/>
  <c r="E21" i="37"/>
  <c r="E9" i="37"/>
  <c r="D28" i="26"/>
  <c r="D55" i="38"/>
  <c r="D60" i="38" s="1"/>
  <c r="E55" i="38"/>
  <c r="F55" i="38"/>
  <c r="F60" i="38" s="1"/>
  <c r="G55" i="38"/>
  <c r="G60" i="38" s="1"/>
  <c r="H55" i="38"/>
  <c r="H60" i="38" s="1"/>
  <c r="C55" i="38"/>
  <c r="C60" i="38" s="1"/>
  <c r="E47" i="38"/>
  <c r="E48" i="38" s="1"/>
  <c r="F47" i="38"/>
  <c r="F48" i="38" s="1"/>
  <c r="G47" i="38"/>
  <c r="G48" i="38" s="1"/>
  <c r="H47" i="38"/>
  <c r="H48" i="38" s="1"/>
  <c r="I47" i="38"/>
  <c r="I48" i="38" s="1"/>
  <c r="D47" i="38"/>
  <c r="E40" i="38"/>
  <c r="F40" i="38"/>
  <c r="G40" i="38"/>
  <c r="H40" i="38"/>
  <c r="I40" i="38"/>
  <c r="F26" i="38"/>
  <c r="G26" i="38"/>
  <c r="H26" i="38"/>
  <c r="I26" i="38"/>
  <c r="D16" i="32"/>
  <c r="E33" i="38" s="1"/>
  <c r="E35" i="38"/>
  <c r="E21" i="38"/>
  <c r="F21" i="38"/>
  <c r="G21" i="38"/>
  <c r="H21" i="38"/>
  <c r="I21" i="38"/>
  <c r="E22" i="38"/>
  <c r="F22" i="38"/>
  <c r="G22" i="38"/>
  <c r="H22" i="38"/>
  <c r="I22" i="38"/>
  <c r="D30" i="13"/>
  <c r="E6" i="38"/>
  <c r="F6" i="38"/>
  <c r="G6" i="38"/>
  <c r="H6" i="38"/>
  <c r="I6" i="38"/>
  <c r="E11" i="38"/>
  <c r="F11" i="38"/>
  <c r="G11" i="38"/>
  <c r="H11" i="38"/>
  <c r="I11" i="38"/>
  <c r="E13" i="38"/>
  <c r="F13" i="38"/>
  <c r="G13" i="38"/>
  <c r="H13" i="38"/>
  <c r="I13" i="38"/>
  <c r="E2" i="38"/>
  <c r="F2" i="38" s="1"/>
  <c r="G2" i="38" s="1"/>
  <c r="H2" i="38" s="1"/>
  <c r="I2" i="38" s="1"/>
  <c r="D40" i="38"/>
  <c r="D35" i="38"/>
  <c r="L35" i="38" s="1"/>
  <c r="D33" i="38"/>
  <c r="D28" i="38"/>
  <c r="D27" i="38"/>
  <c r="D25" i="38"/>
  <c r="D22" i="38"/>
  <c r="D21" i="38"/>
  <c r="D20" i="38"/>
  <c r="D18" i="38"/>
  <c r="D16" i="38"/>
  <c r="D13" i="38"/>
  <c r="D11" i="38"/>
  <c r="D8" i="38"/>
  <c r="D6" i="38"/>
  <c r="D5" i="38"/>
  <c r="D47" i="37"/>
  <c r="F46" i="37"/>
  <c r="C11" i="24"/>
  <c r="C21" i="24" s="1"/>
  <c r="C22" i="24" s="1"/>
  <c r="D11" i="24"/>
  <c r="D21" i="24" s="1"/>
  <c r="F11" i="24"/>
  <c r="F21" i="24" s="1"/>
  <c r="H11" i="24"/>
  <c r="H21" i="24" s="1"/>
  <c r="E11" i="24"/>
  <c r="E21" i="24" s="1"/>
  <c r="G11" i="24"/>
  <c r="G21" i="24" s="1"/>
  <c r="F36" i="37"/>
  <c r="C17" i="37"/>
  <c r="C16" i="37"/>
  <c r="C32" i="37"/>
  <c r="D11" i="32"/>
  <c r="D18" i="32" s="1"/>
  <c r="E11" i="32"/>
  <c r="E18" i="32" s="1"/>
  <c r="G11" i="32"/>
  <c r="G18" i="32" s="1"/>
  <c r="J11" i="32"/>
  <c r="E39" i="37"/>
  <c r="C39" i="37"/>
  <c r="G27" i="35"/>
  <c r="E29" i="37"/>
  <c r="E28" i="37"/>
  <c r="C29" i="37"/>
  <c r="C28" i="37"/>
  <c r="F27" i="37"/>
  <c r="E26" i="37"/>
  <c r="C26" i="37"/>
  <c r="C22" i="37"/>
  <c r="C21" i="37"/>
  <c r="C19" i="37"/>
  <c r="E14" i="37"/>
  <c r="K13" i="38" s="1"/>
  <c r="L13" i="38" s="1"/>
  <c r="D14" i="37"/>
  <c r="C13" i="38" s="1"/>
  <c r="C14" i="37"/>
  <c r="C13" i="37"/>
  <c r="D12" i="37"/>
  <c r="C11" i="38" s="1"/>
  <c r="E12" i="37"/>
  <c r="K11" i="38" s="1"/>
  <c r="L11" i="38" s="1"/>
  <c r="C12" i="37"/>
  <c r="C10" i="37"/>
  <c r="C9" i="37"/>
  <c r="E7" i="37"/>
  <c r="F16" i="37"/>
  <c r="F37" i="37"/>
  <c r="F43" i="37"/>
  <c r="F44" i="37"/>
  <c r="E6" i="37"/>
  <c r="K5" i="38" s="1"/>
  <c r="L5" i="38" s="1"/>
  <c r="G17" i="13"/>
  <c r="C17" i="13"/>
  <c r="C31" i="13" s="1"/>
  <c r="C32" i="13" s="1"/>
  <c r="D28" i="13" s="1"/>
  <c r="D17" i="13"/>
  <c r="E17" i="13"/>
  <c r="F17" i="13"/>
  <c r="H17" i="13"/>
  <c r="G26" i="4"/>
  <c r="H26" i="4"/>
  <c r="E47" i="37"/>
  <c r="E16" i="20"/>
  <c r="F16" i="20"/>
  <c r="F17" i="40" s="1"/>
  <c r="F27" i="40" s="1"/>
  <c r="D16" i="20"/>
  <c r="C12" i="30"/>
  <c r="D12" i="30"/>
  <c r="D17" i="30" s="1"/>
  <c r="G12" i="30"/>
  <c r="G17" i="30" s="1"/>
  <c r="H12" i="30"/>
  <c r="H17" i="30" s="1"/>
  <c r="F12" i="30"/>
  <c r="F17" i="30" s="1"/>
  <c r="E12" i="30"/>
  <c r="E17" i="30" s="1"/>
  <c r="E25" i="13"/>
  <c r="F25" i="13"/>
  <c r="G25" i="13"/>
  <c r="H25" i="13"/>
  <c r="C26" i="13"/>
  <c r="D23" i="13" s="1"/>
  <c r="D24" i="13"/>
  <c r="E24" i="13" s="1"/>
  <c r="F24" i="13" s="1"/>
  <c r="G24" i="13" s="1"/>
  <c r="C22" i="35"/>
  <c r="D19" i="35" s="1"/>
  <c r="D26" i="35"/>
  <c r="E28" i="38" s="1"/>
  <c r="D20" i="35"/>
  <c r="E27" i="38" s="1"/>
  <c r="H13" i="35"/>
  <c r="G13" i="35"/>
  <c r="F13" i="35"/>
  <c r="E13" i="35"/>
  <c r="C13" i="35"/>
  <c r="J13" i="35"/>
  <c r="D5" i="35"/>
  <c r="E5" i="35" s="1"/>
  <c r="F5" i="35" s="1"/>
  <c r="G5" i="35" s="1"/>
  <c r="H5" i="35" s="1"/>
  <c r="D26" i="4"/>
  <c r="E26" i="4"/>
  <c r="F26" i="4"/>
  <c r="D5" i="33"/>
  <c r="E5" i="33" s="1"/>
  <c r="F5" i="33" s="1"/>
  <c r="G5" i="33" s="1"/>
  <c r="H5" i="33" s="1"/>
  <c r="E5" i="32"/>
  <c r="F5" i="32" s="1"/>
  <c r="G5" i="32" s="1"/>
  <c r="H5" i="32" s="1"/>
  <c r="C11" i="32"/>
  <c r="C18" i="32" s="1"/>
  <c r="C19" i="32" s="1"/>
  <c r="D15" i="32" s="1"/>
  <c r="F11" i="32"/>
  <c r="H11" i="32"/>
  <c r="C8" i="31"/>
  <c r="D5" i="31"/>
  <c r="E5" i="31" s="1"/>
  <c r="F5" i="31" s="1"/>
  <c r="G5" i="31" s="1"/>
  <c r="H5" i="31" s="1"/>
  <c r="D5" i="30"/>
  <c r="E5" i="30" s="1"/>
  <c r="F5" i="30" s="1"/>
  <c r="G5" i="30" s="1"/>
  <c r="H5" i="30" s="1"/>
  <c r="H18" i="29"/>
  <c r="H29" i="29" s="1"/>
  <c r="G18" i="29"/>
  <c r="G29" i="29" s="1"/>
  <c r="F18" i="29"/>
  <c r="F29" i="29" s="1"/>
  <c r="D18" i="29"/>
  <c r="D29" i="29" s="1"/>
  <c r="D5" i="29"/>
  <c r="E5" i="29" s="1"/>
  <c r="F5" i="29" s="1"/>
  <c r="G5" i="29" s="1"/>
  <c r="H5" i="29" s="1"/>
  <c r="D19" i="2"/>
  <c r="D30" i="2" s="1"/>
  <c r="E19" i="2"/>
  <c r="E30" i="2" s="1"/>
  <c r="F19" i="2"/>
  <c r="F30" i="2" s="1"/>
  <c r="G30" i="2"/>
  <c r="H19" i="2"/>
  <c r="H30" i="2" s="1"/>
  <c r="C19" i="2"/>
  <c r="C30" i="2" s="1"/>
  <c r="C31" i="2" s="1"/>
  <c r="D25" i="2" s="1"/>
  <c r="G20" i="26"/>
  <c r="J11" i="26"/>
  <c r="H20" i="26"/>
  <c r="F20" i="26"/>
  <c r="E20" i="26"/>
  <c r="D20" i="26"/>
  <c r="C20" i="26"/>
  <c r="C21" i="26" s="1"/>
  <c r="D15" i="26" s="1"/>
  <c r="D5" i="26"/>
  <c r="E5" i="26" s="1"/>
  <c r="F5" i="26" s="1"/>
  <c r="G5" i="26" s="1"/>
  <c r="H5" i="26" s="1"/>
  <c r="G20" i="25"/>
  <c r="J12" i="25"/>
  <c r="H12" i="25"/>
  <c r="H20" i="25" s="1"/>
  <c r="F20" i="25"/>
  <c r="E12" i="25"/>
  <c r="E20" i="25" s="1"/>
  <c r="D12" i="25"/>
  <c r="D20" i="25" s="1"/>
  <c r="C12" i="25"/>
  <c r="C20" i="25" s="1"/>
  <c r="C21" i="25" s="1"/>
  <c r="D18" i="25" s="1"/>
  <c r="D5" i="25"/>
  <c r="E5" i="25" s="1"/>
  <c r="F5" i="25" s="1"/>
  <c r="G5" i="25" s="1"/>
  <c r="H5" i="25" s="1"/>
  <c r="J11" i="24"/>
  <c r="D5" i="24"/>
  <c r="E5" i="24" s="1"/>
  <c r="F5" i="24" s="1"/>
  <c r="G5" i="24" s="1"/>
  <c r="H5" i="24" s="1"/>
  <c r="J16" i="20"/>
  <c r="H16" i="20"/>
  <c r="H17" i="40" s="1"/>
  <c r="H27" i="40" s="1"/>
  <c r="G16" i="20"/>
  <c r="G17" i="40" s="1"/>
  <c r="G27" i="40" s="1"/>
  <c r="D5" i="20"/>
  <c r="E5" i="20" s="1"/>
  <c r="F5" i="20" s="1"/>
  <c r="G5" i="20" s="1"/>
  <c r="H5" i="20" s="1"/>
  <c r="J14" i="19"/>
  <c r="H14" i="19"/>
  <c r="H21" i="19" s="1"/>
  <c r="G14" i="19"/>
  <c r="G21" i="19" s="1"/>
  <c r="F14" i="19"/>
  <c r="E14" i="19"/>
  <c r="D14" i="19"/>
  <c r="C14" i="19"/>
  <c r="C21" i="19" s="1"/>
  <c r="D5" i="19"/>
  <c r="E5" i="19" s="1"/>
  <c r="F5" i="19" s="1"/>
  <c r="G5" i="19" s="1"/>
  <c r="H5" i="19" s="1"/>
  <c r="J13" i="18"/>
  <c r="H13" i="18"/>
  <c r="H22" i="18" s="1"/>
  <c r="G13" i="18"/>
  <c r="G22" i="18" s="1"/>
  <c r="F13" i="18"/>
  <c r="F22" i="18" s="1"/>
  <c r="E13" i="18"/>
  <c r="E22" i="18" s="1"/>
  <c r="D13" i="18"/>
  <c r="D22" i="18" s="1"/>
  <c r="C13" i="18"/>
  <c r="C22" i="18" s="1"/>
  <c r="C23" i="18" s="1"/>
  <c r="D17" i="18" s="1"/>
  <c r="D5" i="18"/>
  <c r="E5" i="18" s="1"/>
  <c r="F5" i="18" s="1"/>
  <c r="G5" i="18" s="1"/>
  <c r="H5" i="18" s="1"/>
  <c r="D27" i="2"/>
  <c r="E27" i="2" s="1"/>
  <c r="D12" i="12"/>
  <c r="D20" i="12" s="1"/>
  <c r="E12" i="12"/>
  <c r="E20" i="12" s="1"/>
  <c r="F12" i="12"/>
  <c r="F20" i="12" s="1"/>
  <c r="G12" i="12"/>
  <c r="G20" i="12" s="1"/>
  <c r="H12" i="12"/>
  <c r="H20" i="12" s="1"/>
  <c r="F26" i="15"/>
  <c r="F29" i="15" s="1"/>
  <c r="J10" i="15"/>
  <c r="H10" i="15"/>
  <c r="H16" i="15" s="1"/>
  <c r="G10" i="15"/>
  <c r="G16" i="15" s="1"/>
  <c r="F10" i="15"/>
  <c r="F16" i="15" s="1"/>
  <c r="E10" i="15"/>
  <c r="E16" i="15" s="1"/>
  <c r="D10" i="15"/>
  <c r="D5" i="15"/>
  <c r="E5" i="15" s="1"/>
  <c r="F5" i="15" s="1"/>
  <c r="G5" i="15" s="1"/>
  <c r="H5" i="15" s="1"/>
  <c r="J17" i="13"/>
  <c r="D5" i="13"/>
  <c r="E5" i="13" s="1"/>
  <c r="F5" i="13" s="1"/>
  <c r="G5" i="13" s="1"/>
  <c r="H5" i="13" s="1"/>
  <c r="C12" i="12"/>
  <c r="D5" i="12"/>
  <c r="E5" i="12" s="1"/>
  <c r="F5" i="12" s="1"/>
  <c r="G5" i="12" s="1"/>
  <c r="H5" i="12" s="1"/>
  <c r="D5" i="8"/>
  <c r="E5" i="8" s="1"/>
  <c r="F5" i="8" s="1"/>
  <c r="G5" i="8" s="1"/>
  <c r="H5" i="8" s="1"/>
  <c r="D24" i="8"/>
  <c r="E24" i="8"/>
  <c r="F24" i="8"/>
  <c r="G24" i="8"/>
  <c r="H24" i="8"/>
  <c r="J16" i="8"/>
  <c r="D5" i="7"/>
  <c r="E5" i="7" s="1"/>
  <c r="F5" i="7" s="1"/>
  <c r="G5" i="7" s="1"/>
  <c r="H5" i="7" s="1"/>
  <c r="J16" i="7"/>
  <c r="C16" i="7"/>
  <c r="C27" i="7" s="1"/>
  <c r="C28" i="7" s="1"/>
  <c r="D24" i="7" s="1"/>
  <c r="D16" i="7"/>
  <c r="D27" i="7" s="1"/>
  <c r="E16" i="7"/>
  <c r="E27" i="7" s="1"/>
  <c r="F16" i="7"/>
  <c r="F27" i="7" s="1"/>
  <c r="G16" i="7"/>
  <c r="G27" i="7" s="1"/>
  <c r="H16" i="7"/>
  <c r="H27" i="7" s="1"/>
  <c r="D26" i="7"/>
  <c r="E25" i="38" s="1"/>
  <c r="D5" i="6"/>
  <c r="E5" i="6" s="1"/>
  <c r="F5" i="6" s="1"/>
  <c r="G5" i="6" s="1"/>
  <c r="H5" i="6" s="1"/>
  <c r="C20" i="6"/>
  <c r="C21" i="6" s="1"/>
  <c r="D17" i="6" s="1"/>
  <c r="D13" i="6"/>
  <c r="E13" i="6"/>
  <c r="E20" i="6" s="1"/>
  <c r="F13" i="6"/>
  <c r="F20" i="6" s="1"/>
  <c r="G13" i="6"/>
  <c r="G20" i="6" s="1"/>
  <c r="H13" i="6"/>
  <c r="H20" i="6" s="1"/>
  <c r="J13" i="6"/>
  <c r="D5" i="5"/>
  <c r="E5" i="5" s="1"/>
  <c r="F5" i="5" s="1"/>
  <c r="G5" i="5" s="1"/>
  <c r="H5" i="5" s="1"/>
  <c r="C15" i="5"/>
  <c r="D15" i="5"/>
  <c r="D24" i="5" s="1"/>
  <c r="E15" i="5"/>
  <c r="F15" i="5"/>
  <c r="F24" i="5" s="1"/>
  <c r="G15" i="5"/>
  <c r="G24" i="5" s="1"/>
  <c r="H15" i="5"/>
  <c r="H24" i="5" s="1"/>
  <c r="J15" i="5"/>
  <c r="D5" i="4"/>
  <c r="E5" i="4" s="1"/>
  <c r="F5" i="4" s="1"/>
  <c r="G5" i="4" s="1"/>
  <c r="H5" i="4" s="1"/>
  <c r="C26" i="4"/>
  <c r="C27" i="4" s="1"/>
  <c r="D20" i="4" s="1"/>
  <c r="D5" i="3"/>
  <c r="E5" i="3" s="1"/>
  <c r="F5" i="3" s="1"/>
  <c r="G5" i="3" s="1"/>
  <c r="H5" i="3" s="1"/>
  <c r="D5" i="2"/>
  <c r="E5" i="2" s="1"/>
  <c r="F5" i="2" s="1"/>
  <c r="G5" i="2" s="1"/>
  <c r="H5" i="2" s="1"/>
  <c r="C29" i="29"/>
  <c r="C30" i="29" s="1"/>
  <c r="D22" i="29" s="1"/>
  <c r="C42" i="38" l="1"/>
  <c r="C49" i="38" s="1"/>
  <c r="F26" i="37"/>
  <c r="K25" i="38"/>
  <c r="L25" i="38" s="1"/>
  <c r="F29" i="37"/>
  <c r="K28" i="38"/>
  <c r="L28" i="38" s="1"/>
  <c r="F21" i="37"/>
  <c r="K20" i="38"/>
  <c r="L20" i="38" s="1"/>
  <c r="F17" i="37"/>
  <c r="K16" i="38"/>
  <c r="L16" i="38" s="1"/>
  <c r="F28" i="37"/>
  <c r="K27" i="38"/>
  <c r="L27" i="38" s="1"/>
  <c r="F9" i="37"/>
  <c r="N5" i="39" s="1"/>
  <c r="K8" i="38"/>
  <c r="L8" i="38" s="1"/>
  <c r="F7" i="37"/>
  <c r="K6" i="38"/>
  <c r="L6" i="38" s="1"/>
  <c r="F32" i="37"/>
  <c r="K33" i="38"/>
  <c r="L33" i="38" s="1"/>
  <c r="F19" i="37"/>
  <c r="K18" i="38"/>
  <c r="L18" i="38" s="1"/>
  <c r="D48" i="38"/>
  <c r="D49" i="38" s="1"/>
  <c r="L47" i="38"/>
  <c r="L32" i="38"/>
  <c r="D42" i="38"/>
  <c r="F39" i="37"/>
  <c r="K40" i="38"/>
  <c r="L40" i="38" s="1"/>
  <c r="K47" i="37"/>
  <c r="K46" i="38"/>
  <c r="L46" i="38" s="1"/>
  <c r="D20" i="6"/>
  <c r="I13" i="6"/>
  <c r="C20" i="12"/>
  <c r="C21" i="12" s="1"/>
  <c r="D16" i="12" s="1"/>
  <c r="D21" i="12" s="1"/>
  <c r="E16" i="12" s="1"/>
  <c r="E21" i="12" s="1"/>
  <c r="F16" i="12" s="1"/>
  <c r="F21" i="12" s="1"/>
  <c r="G16" i="12" s="1"/>
  <c r="G21" i="12" s="1"/>
  <c r="H16" i="12" s="1"/>
  <c r="H21" i="12" s="1"/>
  <c r="I12" i="12"/>
  <c r="C52" i="37"/>
  <c r="O57" i="38"/>
  <c r="E60" i="38"/>
  <c r="C17" i="30"/>
  <c r="C18" i="30" s="1"/>
  <c r="C31" i="29" s="1"/>
  <c r="I12" i="30"/>
  <c r="D16" i="15"/>
  <c r="D16" i="24"/>
  <c r="D23" i="19"/>
  <c r="D21" i="19"/>
  <c r="E23" i="19"/>
  <c r="E21" i="19"/>
  <c r="D21" i="25"/>
  <c r="E18" i="25" s="1"/>
  <c r="E21" i="25" s="1"/>
  <c r="F18" i="25" s="1"/>
  <c r="F21" i="25" s="1"/>
  <c r="G18" i="25" s="1"/>
  <c r="G21" i="25" s="1"/>
  <c r="H18" i="25" s="1"/>
  <c r="H21" i="25" s="1"/>
  <c r="F23" i="19"/>
  <c r="F21" i="19"/>
  <c r="F26" i="19"/>
  <c r="G23" i="19"/>
  <c r="E20" i="38"/>
  <c r="E19" i="18"/>
  <c r="D21" i="6"/>
  <c r="E17" i="6" s="1"/>
  <c r="E21" i="6" s="1"/>
  <c r="F17" i="6" s="1"/>
  <c r="F21" i="6" s="1"/>
  <c r="G17" i="6" s="1"/>
  <c r="G21" i="6" s="1"/>
  <c r="H17" i="6" s="1"/>
  <c r="H21" i="6" s="1"/>
  <c r="H18" i="32"/>
  <c r="D27" i="35"/>
  <c r="I10" i="15"/>
  <c r="D31" i="26"/>
  <c r="N62" i="38"/>
  <c r="E16" i="38"/>
  <c r="E30" i="13"/>
  <c r="F34" i="37"/>
  <c r="E41" i="37"/>
  <c r="D32" i="13"/>
  <c r="E28" i="13" s="1"/>
  <c r="E19" i="33"/>
  <c r="F14" i="33" s="1"/>
  <c r="F19" i="33" s="1"/>
  <c r="O56" i="38"/>
  <c r="F35" i="38"/>
  <c r="D19" i="32"/>
  <c r="E15" i="32" s="1"/>
  <c r="F23" i="20"/>
  <c r="G23" i="20"/>
  <c r="D17" i="40"/>
  <c r="D27" i="40" s="1"/>
  <c r="E17" i="40"/>
  <c r="E27" i="40" s="1"/>
  <c r="D23" i="20"/>
  <c r="H23" i="19"/>
  <c r="H26" i="19"/>
  <c r="F6" i="37"/>
  <c r="I12" i="25"/>
  <c r="I14" i="25" s="1"/>
  <c r="E26" i="7"/>
  <c r="C24" i="20"/>
  <c r="D20" i="20" s="1"/>
  <c r="D22" i="35"/>
  <c r="E19" i="35" s="1"/>
  <c r="E23" i="20"/>
  <c r="I13" i="35"/>
  <c r="I11" i="24"/>
  <c r="I13" i="24" s="1"/>
  <c r="I16" i="7"/>
  <c r="D28" i="7"/>
  <c r="E24" i="7" s="1"/>
  <c r="E26" i="35"/>
  <c r="E18" i="38"/>
  <c r="E42" i="38" s="1"/>
  <c r="E49" i="38" s="1"/>
  <c r="D30" i="29"/>
  <c r="D12" i="31"/>
  <c r="D17" i="31" s="1"/>
  <c r="E12" i="31" s="1"/>
  <c r="E17" i="31" s="1"/>
  <c r="F12" i="31" s="1"/>
  <c r="F17" i="31" s="1"/>
  <c r="G12" i="31" s="1"/>
  <c r="G17" i="31" s="1"/>
  <c r="H12" i="31" s="1"/>
  <c r="H17" i="31" s="1"/>
  <c r="I8" i="31"/>
  <c r="F18" i="32"/>
  <c r="I11" i="32"/>
  <c r="C24" i="5"/>
  <c r="C25" i="5" s="1"/>
  <c r="D21" i="5" s="1"/>
  <c r="D25" i="5" s="1"/>
  <c r="E21" i="5" s="1"/>
  <c r="E25" i="5" s="1"/>
  <c r="F21" i="5" s="1"/>
  <c r="F25" i="5" s="1"/>
  <c r="G21" i="5" s="1"/>
  <c r="G25" i="5" s="1"/>
  <c r="H21" i="5" s="1"/>
  <c r="H25" i="5" s="1"/>
  <c r="I15" i="5"/>
  <c r="I16" i="20"/>
  <c r="E16" i="32"/>
  <c r="F16" i="32" s="1"/>
  <c r="G16" i="32" s="1"/>
  <c r="H16" i="32" s="1"/>
  <c r="H23" i="20"/>
  <c r="D28" i="35"/>
  <c r="E25" i="35" s="1"/>
  <c r="I16" i="8"/>
  <c r="D23" i="18"/>
  <c r="E17" i="18" s="1"/>
  <c r="I13" i="18"/>
  <c r="I15" i="18" s="1"/>
  <c r="D26" i="13"/>
  <c r="E23" i="13" s="1"/>
  <c r="E26" i="13" s="1"/>
  <c r="F23" i="13" s="1"/>
  <c r="F26" i="13" s="1"/>
  <c r="G23" i="13" s="1"/>
  <c r="G26" i="13" s="1"/>
  <c r="H23" i="13" s="1"/>
  <c r="H26" i="13" s="1"/>
  <c r="I17" i="13"/>
  <c r="I19" i="13" s="1"/>
  <c r="I11" i="26"/>
  <c r="F5" i="38"/>
  <c r="F27" i="2"/>
  <c r="E5" i="38"/>
  <c r="E20" i="35"/>
  <c r="F31" i="37"/>
  <c r="E8" i="38"/>
  <c r="D41" i="37"/>
  <c r="D49" i="37" s="1"/>
  <c r="D59" i="37" s="1"/>
  <c r="F47" i="37"/>
  <c r="O5" i="39" s="1"/>
  <c r="D31" i="2"/>
  <c r="E25" i="2" s="1"/>
  <c r="E31" i="2" s="1"/>
  <c r="F25" i="2" s="1"/>
  <c r="I19" i="2"/>
  <c r="I21" i="2" s="1"/>
  <c r="I23" i="2" s="1"/>
  <c r="F23" i="37"/>
  <c r="F13" i="37"/>
  <c r="C24" i="8"/>
  <c r="C25" i="8" s="1"/>
  <c r="D20" i="8" s="1"/>
  <c r="D25" i="8" s="1"/>
  <c r="E20" i="8" s="1"/>
  <c r="E25" i="8" s="1"/>
  <c r="F20" i="8" s="1"/>
  <c r="F32" i="38"/>
  <c r="C25" i="3"/>
  <c r="D21" i="3" s="1"/>
  <c r="D25" i="3" s="1"/>
  <c r="E21" i="3" s="1"/>
  <c r="I14" i="3"/>
  <c r="F14" i="37"/>
  <c r="I14" i="19"/>
  <c r="F22" i="37"/>
  <c r="D27" i="4"/>
  <c r="E20" i="4" s="1"/>
  <c r="E27" i="4" s="1"/>
  <c r="F20" i="4" s="1"/>
  <c r="F23" i="4"/>
  <c r="F18" i="38"/>
  <c r="F42" i="38" s="1"/>
  <c r="F49" i="38" s="1"/>
  <c r="C23" i="19"/>
  <c r="F12" i="37"/>
  <c r="D21" i="26"/>
  <c r="E15" i="26" s="1"/>
  <c r="E21" i="26" s="1"/>
  <c r="F15" i="26" s="1"/>
  <c r="F21" i="26" s="1"/>
  <c r="G15" i="26" s="1"/>
  <c r="G21" i="26" s="1"/>
  <c r="H15" i="26" s="1"/>
  <c r="H21" i="26" s="1"/>
  <c r="E29" i="29"/>
  <c r="I18" i="29"/>
  <c r="I20" i="29" s="1"/>
  <c r="F8" i="38"/>
  <c r="J49" i="38" l="1"/>
  <c r="D61" i="37"/>
  <c r="J5" i="37"/>
  <c r="M5" i="39" s="1"/>
  <c r="P5" i="39" s="1"/>
  <c r="J18" i="37"/>
  <c r="D22" i="24"/>
  <c r="E16" i="24" s="1"/>
  <c r="E22" i="24" s="1"/>
  <c r="F16" i="24" s="1"/>
  <c r="D17" i="15"/>
  <c r="E13" i="15" s="1"/>
  <c r="E17" i="15" s="1"/>
  <c r="F13" i="15" s="1"/>
  <c r="F17" i="15" s="1"/>
  <c r="G13" i="15" s="1"/>
  <c r="G17" i="15" s="1"/>
  <c r="H47" i="37"/>
  <c r="L47" i="37"/>
  <c r="D51" i="37"/>
  <c r="E23" i="18"/>
  <c r="F17" i="18" s="1"/>
  <c r="F23" i="18" s="1"/>
  <c r="G17" i="18" s="1"/>
  <c r="G23" i="18" s="1"/>
  <c r="H17" i="18" s="1"/>
  <c r="O69" i="38"/>
  <c r="O74" i="38" s="1"/>
  <c r="F29" i="19"/>
  <c r="F20" i="38"/>
  <c r="E19" i="32"/>
  <c r="F15" i="32" s="1"/>
  <c r="E22" i="35"/>
  <c r="F19" i="35" s="1"/>
  <c r="G20" i="38"/>
  <c r="D24" i="20"/>
  <c r="E20" i="20" s="1"/>
  <c r="E24" i="20" s="1"/>
  <c r="F20" i="20" s="1"/>
  <c r="F24" i="20" s="1"/>
  <c r="G20" i="20" s="1"/>
  <c r="G24" i="20" s="1"/>
  <c r="H20" i="20" s="1"/>
  <c r="H24" i="20" s="1"/>
  <c r="H29" i="19"/>
  <c r="F30" i="13"/>
  <c r="C110" i="38"/>
  <c r="F41" i="37"/>
  <c r="G14" i="33"/>
  <c r="G19" i="33" s="1"/>
  <c r="I17" i="40"/>
  <c r="C27" i="40"/>
  <c r="C28" i="40" s="1"/>
  <c r="D21" i="40" s="1"/>
  <c r="D28" i="40" s="1"/>
  <c r="E21" i="40" s="1"/>
  <c r="E28" i="40" s="1"/>
  <c r="F21" i="40" s="1"/>
  <c r="F28" i="40" s="1"/>
  <c r="G21" i="40" s="1"/>
  <c r="G28" i="40" s="1"/>
  <c r="H21" i="40" s="1"/>
  <c r="H28" i="40" s="1"/>
  <c r="D15" i="30"/>
  <c r="D18" i="30" s="1"/>
  <c r="D31" i="29" s="1"/>
  <c r="E22" i="29"/>
  <c r="E30" i="29" s="1"/>
  <c r="F22" i="29" s="1"/>
  <c r="F30" i="29" s="1"/>
  <c r="G22" i="29" s="1"/>
  <c r="F25" i="38"/>
  <c r="F26" i="7"/>
  <c r="E28" i="7"/>
  <c r="F24" i="7" s="1"/>
  <c r="F28" i="38"/>
  <c r="F26" i="35"/>
  <c r="E28" i="35"/>
  <c r="F25" i="35" s="1"/>
  <c r="F16" i="38"/>
  <c r="F33" i="38"/>
  <c r="F31" i="2"/>
  <c r="G25" i="2" s="1"/>
  <c r="E32" i="13"/>
  <c r="F28" i="13" s="1"/>
  <c r="I20" i="38"/>
  <c r="H20" i="38"/>
  <c r="G5" i="38"/>
  <c r="G27" i="2"/>
  <c r="F20" i="35"/>
  <c r="F27" i="38"/>
  <c r="E49" i="37"/>
  <c r="E59" i="37" s="1"/>
  <c r="E61" i="37" s="1"/>
  <c r="G35" i="38"/>
  <c r="E25" i="3"/>
  <c r="F21" i="3" s="1"/>
  <c r="F25" i="3" s="1"/>
  <c r="G21" i="3" s="1"/>
  <c r="G25" i="3" s="1"/>
  <c r="H21" i="3" s="1"/>
  <c r="H25" i="3" s="1"/>
  <c r="C24" i="19"/>
  <c r="D18" i="19" s="1"/>
  <c r="D24" i="19" s="1"/>
  <c r="E18" i="19" s="1"/>
  <c r="E24" i="19" s="1"/>
  <c r="F18" i="19" s="1"/>
  <c r="F24" i="19" s="1"/>
  <c r="G18" i="19" s="1"/>
  <c r="G24" i="19" s="1"/>
  <c r="H18" i="19" s="1"/>
  <c r="H24" i="19" s="1"/>
  <c r="G23" i="4"/>
  <c r="G18" i="38"/>
  <c r="G42" i="38" s="1"/>
  <c r="G49" i="38" s="1"/>
  <c r="F27" i="4"/>
  <c r="G20" i="4" s="1"/>
  <c r="G8" i="38"/>
  <c r="F59" i="37" l="1"/>
  <c r="F61" i="37"/>
  <c r="E51" i="37"/>
  <c r="K49" i="37"/>
  <c r="G30" i="13"/>
  <c r="H30" i="13" s="1"/>
  <c r="I16" i="38" s="1"/>
  <c r="F22" i="24"/>
  <c r="G16" i="24" s="1"/>
  <c r="G22" i="24" s="1"/>
  <c r="H16" i="24" s="1"/>
  <c r="H22" i="24" s="1"/>
  <c r="D50" i="38"/>
  <c r="H41" i="37"/>
  <c r="F66" i="38"/>
  <c r="H13" i="15"/>
  <c r="H17" i="15" s="1"/>
  <c r="F25" i="8"/>
  <c r="G20" i="8" s="1"/>
  <c r="G25" i="8" s="1"/>
  <c r="H20" i="8" s="1"/>
  <c r="F28" i="35"/>
  <c r="G25" i="35" s="1"/>
  <c r="I68" i="38"/>
  <c r="N75" i="38"/>
  <c r="F32" i="13"/>
  <c r="G28" i="13" s="1"/>
  <c r="F49" i="37"/>
  <c r="H14" i="33"/>
  <c r="H19" i="33" s="1"/>
  <c r="F28" i="7"/>
  <c r="G24" i="7" s="1"/>
  <c r="E15" i="30"/>
  <c r="E18" i="30" s="1"/>
  <c r="G26" i="7"/>
  <c r="G25" i="38"/>
  <c r="G26" i="35"/>
  <c r="G28" i="38"/>
  <c r="H23" i="18"/>
  <c r="G31" i="2"/>
  <c r="H25" i="2" s="1"/>
  <c r="G16" i="38"/>
  <c r="G33" i="38"/>
  <c r="F19" i="32"/>
  <c r="G15" i="32" s="1"/>
  <c r="H27" i="2"/>
  <c r="I5" i="38" s="1"/>
  <c r="H5" i="38"/>
  <c r="G20" i="35"/>
  <c r="G27" i="38"/>
  <c r="F22" i="35"/>
  <c r="G19" i="35" s="1"/>
  <c r="K41" i="37"/>
  <c r="L41" i="37" s="1"/>
  <c r="H35" i="38"/>
  <c r="I35" i="38"/>
  <c r="H23" i="4"/>
  <c r="H18" i="38"/>
  <c r="H42" i="38" s="1"/>
  <c r="H49" i="38" s="1"/>
  <c r="G27" i="4"/>
  <c r="H20" i="4" s="1"/>
  <c r="G30" i="29"/>
  <c r="H22" i="29" s="1"/>
  <c r="H8" i="38"/>
  <c r="I8" i="38"/>
  <c r="M2" i="39" l="1"/>
  <c r="K49" i="38"/>
  <c r="L49" i="38" s="1"/>
  <c r="H16" i="38"/>
  <c r="H49" i="37"/>
  <c r="N2" i="39" s="1"/>
  <c r="G66" i="38"/>
  <c r="F70" i="38"/>
  <c r="G28" i="35"/>
  <c r="H25" i="35" s="1"/>
  <c r="F15" i="30"/>
  <c r="F18" i="30" s="1"/>
  <c r="F31" i="29" s="1"/>
  <c r="E31" i="29"/>
  <c r="L49" i="37"/>
  <c r="G28" i="7"/>
  <c r="H24" i="7" s="1"/>
  <c r="H25" i="38"/>
  <c r="H26" i="7"/>
  <c r="I25" i="38" s="1"/>
  <c r="G19" i="32"/>
  <c r="H15" i="32" s="1"/>
  <c r="H26" i="35"/>
  <c r="H28" i="38"/>
  <c r="H25" i="8"/>
  <c r="G32" i="13"/>
  <c r="H28" i="13" s="1"/>
  <c r="H32" i="13" s="1"/>
  <c r="I33" i="38"/>
  <c r="H33" i="38"/>
  <c r="G22" i="35"/>
  <c r="H19" i="35" s="1"/>
  <c r="H31" i="2"/>
  <c r="H20" i="35"/>
  <c r="I27" i="38" s="1"/>
  <c r="H27" i="38"/>
  <c r="I18" i="38"/>
  <c r="I42" i="38" s="1"/>
  <c r="I49" i="38" s="1"/>
  <c r="H27" i="4"/>
  <c r="H30" i="29"/>
  <c r="J22" i="29" s="1"/>
  <c r="J30" i="29" s="1"/>
  <c r="H66" i="38" l="1"/>
  <c r="G70" i="38"/>
  <c r="H19" i="32"/>
  <c r="G15" i="30"/>
  <c r="G18" i="30" s="1"/>
  <c r="H15" i="30" s="1"/>
  <c r="H18" i="30" s="1"/>
  <c r="H31" i="29" s="1"/>
  <c r="J31" i="29" s="1"/>
  <c r="H28" i="7"/>
  <c r="I28" i="38"/>
  <c r="H28" i="35"/>
  <c r="H22" i="35"/>
  <c r="I66" i="38" l="1"/>
  <c r="I70" i="38" s="1"/>
  <c r="H70" i="38"/>
  <c r="G31" i="29"/>
  <c r="C71" i="38" l="1"/>
  <c r="C73" i="38" s="1"/>
  <c r="D71" i="38" l="1"/>
  <c r="O58" i="38"/>
  <c r="O62" i="38" s="1"/>
  <c r="M7" i="39" l="1"/>
  <c r="N10" i="39"/>
  <c r="D73" i="38"/>
  <c r="N7" i="39"/>
  <c r="E71" i="38"/>
  <c r="F71" i="38"/>
  <c r="F73" i="38" s="1"/>
  <c r="F84" i="38" s="1"/>
  <c r="F86" i="38" s="1"/>
  <c r="E73" i="38" l="1"/>
  <c r="E84" i="38" s="1"/>
  <c r="E86" i="38" s="1"/>
  <c r="D84" i="38"/>
  <c r="D86" i="38" s="1"/>
  <c r="M10" i="39" s="1"/>
  <c r="D75" i="38"/>
  <c r="G71" i="38"/>
  <c r="G73" i="38" s="1"/>
  <c r="D77" i="38" l="1"/>
  <c r="D80" i="38"/>
  <c r="E75" i="38"/>
  <c r="D76" i="38"/>
  <c r="N15" i="39" s="1"/>
  <c r="D79" i="38"/>
  <c r="F75" i="38"/>
  <c r="D114" i="38"/>
  <c r="D116" i="38" s="1"/>
  <c r="D78" i="38" s="1"/>
  <c r="G75" i="38"/>
  <c r="G84" i="38"/>
  <c r="G86" i="38" s="1"/>
  <c r="D110" i="38"/>
  <c r="H71" i="38"/>
  <c r="H73" i="38" s="1"/>
  <c r="E80" i="38" l="1"/>
  <c r="E76" i="38"/>
  <c r="E79" i="38"/>
  <c r="E77" i="38"/>
  <c r="F77" i="38" s="1"/>
  <c r="G77" i="38" s="1"/>
  <c r="E114" i="38"/>
  <c r="E116" i="38" s="1"/>
  <c r="E78" i="38" s="1"/>
  <c r="M15" i="39"/>
  <c r="F79" i="38"/>
  <c r="F80" i="38"/>
  <c r="G79" i="38"/>
  <c r="G80" i="38"/>
  <c r="F76" i="38"/>
  <c r="F114" i="38"/>
  <c r="F116" i="38" s="1"/>
  <c r="F78" i="38" s="1"/>
  <c r="D117" i="38"/>
  <c r="G114" i="38"/>
  <c r="G116" i="38" s="1"/>
  <c r="G78" i="38" s="1"/>
  <c r="G76" i="38"/>
  <c r="H75" i="38"/>
  <c r="H84" i="38"/>
  <c r="H86" i="38" s="1"/>
  <c r="I71" i="38"/>
  <c r="E117" i="38" l="1"/>
  <c r="F117" i="38" s="1"/>
  <c r="G117" i="38" s="1"/>
  <c r="H79" i="38"/>
  <c r="H80" i="38"/>
  <c r="I73" i="38"/>
  <c r="M13" i="39"/>
  <c r="H114" i="38"/>
  <c r="H116" i="38" s="1"/>
  <c r="H78" i="38" s="1"/>
  <c r="H76" i="38"/>
  <c r="H77" i="38"/>
  <c r="I84" i="38" l="1"/>
  <c r="I74" i="38"/>
  <c r="P91" i="38" s="1"/>
  <c r="P92" i="38" s="1"/>
  <c r="I75" i="38"/>
  <c r="I80" i="38" s="1"/>
  <c r="M16" i="39"/>
  <c r="N16" i="39" s="1"/>
  <c r="H117" i="38"/>
  <c r="O75" i="38"/>
  <c r="I76" i="38" l="1"/>
  <c r="I79" i="38"/>
  <c r="I114" i="38"/>
  <c r="I116" i="38" s="1"/>
  <c r="I117" i="38" s="1"/>
  <c r="I77" i="38"/>
  <c r="P89" i="38"/>
  <c r="Q88" i="38" s="1"/>
  <c r="P90" i="38" s="1"/>
  <c r="I78" i="38" l="1"/>
  <c r="J34" i="40"/>
</calcChain>
</file>

<file path=xl/sharedStrings.xml><?xml version="1.0" encoding="utf-8"?>
<sst xmlns="http://schemas.openxmlformats.org/spreadsheetml/2006/main" count="1485" uniqueCount="796">
  <si>
    <t>Totals</t>
  </si>
  <si>
    <t>Total</t>
  </si>
  <si>
    <t>Amount</t>
  </si>
  <si>
    <t>Item</t>
  </si>
  <si>
    <t>Purpose</t>
  </si>
  <si>
    <t>F350 Pick Up</t>
  </si>
  <si>
    <t xml:space="preserve">F550 Dump Truck </t>
  </si>
  <si>
    <t>DPW Roof</t>
  </si>
  <si>
    <t>Comment/Purpose</t>
  </si>
  <si>
    <t>TOTAL</t>
  </si>
  <si>
    <t>Replacement</t>
  </si>
  <si>
    <t>Boiler</t>
  </si>
  <si>
    <t>North Face only</t>
  </si>
  <si>
    <t>Exterior Painting</t>
  </si>
  <si>
    <t>Ending Balance</t>
  </si>
  <si>
    <t>Expenditures</t>
  </si>
  <si>
    <t>Contributions</t>
  </si>
  <si>
    <t>Estimated annual contribution</t>
  </si>
  <si>
    <t>Special Duty Revolving Fund:</t>
  </si>
  <si>
    <t>Annual Cruiser Replacement</t>
  </si>
  <si>
    <t>Outdoor basketball court at Richardson Park</t>
  </si>
  <si>
    <t>Department</t>
  </si>
  <si>
    <t xml:space="preserve">Actual </t>
  </si>
  <si>
    <t>Recommend</t>
  </si>
  <si>
    <t>Carpenter Home</t>
  </si>
  <si>
    <t>Comments</t>
  </si>
  <si>
    <t>Town Dams</t>
  </si>
  <si>
    <t>Covered Bridges</t>
  </si>
  <si>
    <t>CA Brook</t>
  </si>
  <si>
    <t>Ballou</t>
  </si>
  <si>
    <t>Riverfront Park</t>
  </si>
  <si>
    <t>Tippin Rock</t>
  </si>
  <si>
    <t>One project is in process:</t>
  </si>
  <si>
    <t>Adams/Windyhurst</t>
  </si>
  <si>
    <t>Two addition projects in pipeline</t>
  </si>
  <si>
    <t>The Trust was established in 1988.</t>
  </si>
  <si>
    <t>Disbursements</t>
  </si>
  <si>
    <t>Balance, End of Year</t>
  </si>
  <si>
    <t xml:space="preserve">Int'l. Dump Truck </t>
  </si>
  <si>
    <t>MCUL Trust Funds: $86,500</t>
  </si>
  <si>
    <t>Thompson Bridge</t>
  </si>
  <si>
    <t>Painting</t>
  </si>
  <si>
    <t>Carlton Bridge</t>
  </si>
  <si>
    <t>Denman Thompson (Steel)</t>
  </si>
  <si>
    <t>Replace Decking</t>
  </si>
  <si>
    <t>Other - Mowers, etc.</t>
  </si>
  <si>
    <t>Incr.(Decr.)</t>
  </si>
  <si>
    <t>Rate</t>
  </si>
  <si>
    <t>Bonding</t>
  </si>
  <si>
    <t>CAPITAL IMPROVEMENTS PROGRAM COMMITTEE</t>
  </si>
  <si>
    <t>SUMMARY and DETAIL SCHEDULES</t>
  </si>
  <si>
    <t>SCBAs</t>
  </si>
  <si>
    <t>Purchase 30 units at $7,750</t>
  </si>
  <si>
    <t>Other Donations</t>
  </si>
  <si>
    <t>Cem. and Town Property</t>
  </si>
  <si>
    <t>Financial Software Replacement</t>
  </si>
  <si>
    <t>Stratton Free Library</t>
  </si>
  <si>
    <t>Engine</t>
  </si>
  <si>
    <t>yrs</t>
  </si>
  <si>
    <t>rate</t>
  </si>
  <si>
    <t>D/S</t>
  </si>
  <si>
    <t>Town Bridges</t>
  </si>
  <si>
    <t>Server</t>
  </si>
  <si>
    <t>Other IT</t>
  </si>
  <si>
    <t>Dual Band Repeater</t>
  </si>
  <si>
    <t>Police IMS:</t>
  </si>
  <si>
    <t>EM Facilities</t>
  </si>
  <si>
    <t>From 2005 to 2017 four projects were funded:</t>
  </si>
  <si>
    <t>Swanzey Lake Dam</t>
  </si>
  <si>
    <t>State/Federal Funding</t>
  </si>
  <si>
    <t>Loader</t>
  </si>
  <si>
    <t>Cresson Bridge</t>
  </si>
  <si>
    <t>Reconstruction</t>
  </si>
  <si>
    <t>Transfer to Road Rehab.</t>
  </si>
  <si>
    <t>Gear Extractor</t>
  </si>
  <si>
    <t>Station 3</t>
  </si>
  <si>
    <t>Replace all department radios - Communication ETF</t>
  </si>
  <si>
    <t xml:space="preserve">Station 3 new efficient heat system </t>
  </si>
  <si>
    <t>Station 3 Roof replacement</t>
  </si>
  <si>
    <t>Station 3 upstairs second means of egress</t>
  </si>
  <si>
    <t xml:space="preserve">Exhaust Treatment System </t>
  </si>
  <si>
    <t>Station 1 - grant may be available</t>
  </si>
  <si>
    <t>Station 3 - grant may be available</t>
  </si>
  <si>
    <t>Fire Suppression System in Station 3</t>
  </si>
  <si>
    <t>Grants</t>
  </si>
  <si>
    <t>Replace OHRV</t>
  </si>
  <si>
    <t>See Emg. Com</t>
  </si>
  <si>
    <t>DPW:</t>
  </si>
  <si>
    <t>Equipment</t>
  </si>
  <si>
    <t>Facilities</t>
  </si>
  <si>
    <t>Road Reconst.</t>
  </si>
  <si>
    <t>Muni Trans Fund</t>
  </si>
  <si>
    <t>Fire:</t>
  </si>
  <si>
    <t>Other Accounts:</t>
  </si>
  <si>
    <t>Trucks</t>
  </si>
  <si>
    <t>Ponds</t>
  </si>
  <si>
    <t>Tools</t>
  </si>
  <si>
    <t>Station Maint.</t>
  </si>
  <si>
    <t>Balance</t>
  </si>
  <si>
    <t>Police:</t>
  </si>
  <si>
    <t>Cruisers</t>
  </si>
  <si>
    <t>SD Revolver</t>
  </si>
  <si>
    <t>IMS</t>
  </si>
  <si>
    <t>Town Hall:</t>
  </si>
  <si>
    <t>Expansion</t>
  </si>
  <si>
    <t>Emergency Mgmt.:</t>
  </si>
  <si>
    <t>Communications</t>
  </si>
  <si>
    <t>Recreation</t>
  </si>
  <si>
    <t>Recycling Center:</t>
  </si>
  <si>
    <t>Reserve</t>
  </si>
  <si>
    <t>Revolver</t>
  </si>
  <si>
    <t>Use of Muni Trans Funds</t>
  </si>
  <si>
    <t>yrs.</t>
  </si>
  <si>
    <t>Station Major Repairs</t>
  </si>
  <si>
    <t>Police Facilities:</t>
  </si>
  <si>
    <t>Other Funds:</t>
  </si>
  <si>
    <t>NRFs</t>
  </si>
  <si>
    <t>Trusts - Common Fund</t>
  </si>
  <si>
    <t>Whitcomb Hall</t>
  </si>
  <si>
    <t>Libraries:</t>
  </si>
  <si>
    <t>2017 - Police Station</t>
  </si>
  <si>
    <t>Bond</t>
  </si>
  <si>
    <t>term</t>
  </si>
  <si>
    <t>debt serv</t>
  </si>
  <si>
    <t>Conservation Land</t>
  </si>
  <si>
    <t>Grand Total</t>
  </si>
  <si>
    <t>Repairs</t>
  </si>
  <si>
    <t>Recreation Director's Office</t>
  </si>
  <si>
    <t>Provide minimal Improvements to egress into and out of Town Hall and Center Fire Station</t>
  </si>
  <si>
    <t>Building drainage engineering</t>
  </si>
  <si>
    <t>Engineering work to address water getting into basement</t>
  </si>
  <si>
    <t>Work to address water getting into basement</t>
  </si>
  <si>
    <t xml:space="preserve">Wiring &amp; safety warning devices Upgrade </t>
  </si>
  <si>
    <t>Retaining wall rebuild (East Side)</t>
  </si>
  <si>
    <t>Blocks, stone, drainage, etc.</t>
  </si>
  <si>
    <t>Fire Suppression System</t>
  </si>
  <si>
    <t>Portable Radios</t>
  </si>
  <si>
    <t>Police - Portable Radios</t>
  </si>
  <si>
    <t>EM Facilities:</t>
  </si>
  <si>
    <t>Replace Ranger</t>
  </si>
  <si>
    <t>Bonds:</t>
  </si>
  <si>
    <t>Trust Earnings</t>
  </si>
  <si>
    <t>Repairs &amp; Expansion</t>
  </si>
  <si>
    <t>Muni Trans Balance</t>
  </si>
  <si>
    <t>Cemetery Expansion</t>
  </si>
  <si>
    <t>cost/hr</t>
  </si>
  <si>
    <t>GRADER</t>
  </si>
  <si>
    <t>TBD</t>
  </si>
  <si>
    <t>Town Hall Generator</t>
  </si>
  <si>
    <t>Slate Bridge</t>
  </si>
  <si>
    <t>Lease</t>
  </si>
  <si>
    <t>Lease:</t>
  </si>
  <si>
    <t>Drainage work</t>
  </si>
  <si>
    <t>Grants/Fundraising</t>
  </si>
  <si>
    <t>Fundraising/Donations</t>
  </si>
  <si>
    <t>SD Cruiser Revolver</t>
  </si>
  <si>
    <t>Sidewalk Tractor</t>
  </si>
  <si>
    <t>Sidewalk Plowing</t>
  </si>
  <si>
    <t>Backhoe</t>
  </si>
  <si>
    <t>Major Facility Upgrade</t>
  </si>
  <si>
    <t>Balance, Beginning of Year</t>
  </si>
  <si>
    <t>Talbot Hill Road</t>
  </si>
  <si>
    <t>Spring Street</t>
  </si>
  <si>
    <t>North Winchester Street</t>
  </si>
  <si>
    <t>Christian Hill Road</t>
  </si>
  <si>
    <t>Via MV Reg. Fees</t>
  </si>
  <si>
    <t>Forest Avenue</t>
  </si>
  <si>
    <t>California Brook Road</t>
  </si>
  <si>
    <t xml:space="preserve">Bonding </t>
  </si>
  <si>
    <t>Miscellaneous Equipment</t>
  </si>
  <si>
    <t>SCBA Filling Station &amp; Compressor</t>
  </si>
  <si>
    <t>SCBA Mobile Filling Station</t>
  </si>
  <si>
    <t>To be located in heavy rescue</t>
  </si>
  <si>
    <t>Cardiac Monitor</t>
  </si>
  <si>
    <t>Construct an enclosed second means of egress from the 2nd story</t>
  </si>
  <si>
    <t>Additional Cruiser</t>
  </si>
  <si>
    <t>Fire Station Reserve</t>
  </si>
  <si>
    <t>Town Clerk Software Replacement</t>
  </si>
  <si>
    <t>GIS &amp; Tax Map Upgrade</t>
  </si>
  <si>
    <t>Interior redesign</t>
  </si>
  <si>
    <t>Redesign the interior of Town Hall, addressing code and workflow challenges due to the current layout</t>
  </si>
  <si>
    <t>Restrooms/changing rooms at Richardson Park</t>
  </si>
  <si>
    <t>2 Covered picnic areas at Richardson Park 14x14</t>
  </si>
  <si>
    <t>Provide nice areas for people and families as they visit and spend time at the lake.</t>
  </si>
  <si>
    <t>Provide more opportunities and activities for the residents of Swanzey</t>
  </si>
  <si>
    <t>A place for the rec director to work out of, keep files, hold meetings and be organized.</t>
  </si>
  <si>
    <t>"Purchase" and separate   excess acreage from the Carpenter Home "Homestead" per 2018 Warrant Article 13.</t>
  </si>
  <si>
    <t>2018 - Cardiac Monitors</t>
  </si>
  <si>
    <t>Authorized Debt:</t>
  </si>
  <si>
    <t>Other</t>
  </si>
  <si>
    <t>Cemetery Expansion and other over-</t>
  </si>
  <si>
    <t>funded accounts.</t>
  </si>
  <si>
    <t>Estimated</t>
  </si>
  <si>
    <t>Station 2</t>
  </si>
  <si>
    <t>Bonds (Placeholder)</t>
  </si>
  <si>
    <t>Debt Serv.</t>
  </si>
  <si>
    <t>BOND SUMMARY:</t>
  </si>
  <si>
    <t>Original</t>
  </si>
  <si>
    <t>Reduces</t>
  </si>
  <si>
    <t>over time</t>
  </si>
  <si>
    <t>Various to close account</t>
  </si>
  <si>
    <t>Fire Station Cap Reserve</t>
  </si>
  <si>
    <t>Window Replacement</t>
  </si>
  <si>
    <t>Fund Raising/Grants</t>
  </si>
  <si>
    <t>Third Floor Rehab</t>
  </si>
  <si>
    <t>Use of pure, unallocated reserve funds.</t>
  </si>
  <si>
    <t>Last</t>
  </si>
  <si>
    <t>Payment</t>
  </si>
  <si>
    <t>WWTP Debt :</t>
  </si>
  <si>
    <t>Last Payment</t>
  </si>
  <si>
    <t>Other Debt Service Terminations:</t>
  </si>
  <si>
    <t>Term/yrs.</t>
  </si>
  <si>
    <t>SRDD Debt:</t>
  </si>
  <si>
    <t>2026 (Last)</t>
  </si>
  <si>
    <t>Waste Oil Building</t>
  </si>
  <si>
    <t>Waste Oil Burner &amp; supplies</t>
  </si>
  <si>
    <t>Horizontal baler</t>
  </si>
  <si>
    <t>Back 40 layout &amp; clearing</t>
  </si>
  <si>
    <t>2019 Contribution</t>
  </si>
  <si>
    <t>Financing</t>
  </si>
  <si>
    <t>Facility fence</t>
  </si>
  <si>
    <t>Pave main parking lot</t>
  </si>
  <si>
    <t>Skid steer attachments</t>
  </si>
  <si>
    <t>Yr/Yr Increase (Decrease)</t>
  </si>
  <si>
    <t>2019 - Rehab. Roads</t>
  </si>
  <si>
    <t>Increase(Decrease)</t>
  </si>
  <si>
    <t>Impact of other (WWTP) bond terms.</t>
  </si>
  <si>
    <t>Proposed Debt: (Authorization Year)</t>
  </si>
  <si>
    <t>Upsize culvert that is undersized, likely resulting in bridge classification. Costs preliminary. *</t>
  </si>
  <si>
    <t>* Town portion only</t>
  </si>
  <si>
    <t>630,000 Total est.</t>
  </si>
  <si>
    <t>730,000 Total est.</t>
  </si>
  <si>
    <t>Projected Inclusive Capex</t>
  </si>
  <si>
    <t>Relevance:</t>
  </si>
  <si>
    <t>6 yr. Avg. Increase</t>
  </si>
  <si>
    <t>South Winchester Street</t>
  </si>
  <si>
    <t>All items are inclusive of design costs.</t>
  </si>
  <si>
    <t>Prospect Street</t>
  </si>
  <si>
    <t>Recycle Center long term budget.</t>
  </si>
  <si>
    <r>
      <t>40'x25' (1,000 ft</t>
    </r>
    <r>
      <rPr>
        <vertAlign val="superscript"/>
        <sz val="8"/>
        <color theme="1"/>
        <rFont val="Calibri"/>
        <family val="2"/>
        <scheme val="minor"/>
      </rPr>
      <t>2</t>
    </r>
    <r>
      <rPr>
        <sz val="8"/>
        <color theme="1"/>
        <rFont val="Calibri"/>
        <family val="2"/>
        <scheme val="minor"/>
      </rPr>
      <t>)</t>
    </r>
  </si>
  <si>
    <t>Upper Wilson Pond Dam</t>
  </si>
  <si>
    <t>Repair. DES is requiring that we engage a consultant to review the dam and assess its condition by 8/2022, and if repairs are warranted make them by 9/2024. Cost is a guess at this point.</t>
  </si>
  <si>
    <t>Reconstruction/Repave</t>
  </si>
  <si>
    <t>Marcy Hill / Fox Run / Sugar Hill</t>
  </si>
  <si>
    <t>Repave</t>
  </si>
  <si>
    <t>Birch (AKA Massey)</t>
  </si>
  <si>
    <t>Denman Thompson</t>
  </si>
  <si>
    <t>Cross</t>
  </si>
  <si>
    <t>Sawmill</t>
  </si>
  <si>
    <t>Westbrook</t>
  </si>
  <si>
    <t>Morningside</t>
  </si>
  <si>
    <t>Hutch</t>
  </si>
  <si>
    <t>Arrowcrest</t>
  </si>
  <si>
    <t>Cram Hill</t>
  </si>
  <si>
    <t>Pebble Hill</t>
  </si>
  <si>
    <t>Dunn Hill</t>
  </si>
  <si>
    <t>Accum. Increase over Base Year</t>
  </si>
  <si>
    <t>Level Annual</t>
  </si>
  <si>
    <t>Reconstruction  *</t>
  </si>
  <si>
    <t>For Later Discussion:</t>
  </si>
  <si>
    <t>2017 AV (in 000's)</t>
  </si>
  <si>
    <t>Tax Rate Increase (Decrease)</t>
  </si>
  <si>
    <t>Yr/Yr Tax Rate Effect (2018 AV)</t>
  </si>
  <si>
    <t>Town Operating Funds</t>
  </si>
  <si>
    <t>Grants - 15% of Costs</t>
  </si>
  <si>
    <t>CAPEX Increase (Decrease)</t>
  </si>
  <si>
    <t>Cumulative Increase</t>
  </si>
  <si>
    <t>Ignore routine facility maintenance/replacement items, which should be in your General Fund operating expense budget.</t>
  </si>
  <si>
    <t>Please use amounts in even dollars; do not round to nearest thousand. Use notes to expand information when necessary.</t>
  </si>
  <si>
    <t>Note major changes from your prior budget.</t>
  </si>
  <si>
    <t>Compact Excavator with accessories, including mowers</t>
  </si>
  <si>
    <t xml:space="preserve">Will be shared with DPW and is expected to have cost offset by grants / fundraising. $100k total cost w/ following accessories: 36" Grading Bucket Accessory, 24" Digging Bucket Accessory, and Flail Mower. </t>
  </si>
  <si>
    <t>Cheshire &amp; Ashuelot Trail Improvements</t>
  </si>
  <si>
    <t>Trail improvements / Maintenance</t>
  </si>
  <si>
    <t>Muni Trans Transfer</t>
  </si>
  <si>
    <t>Fund Raising</t>
  </si>
  <si>
    <t>Full update of the Town's tax maps, including matching maps to reality using new, custom aerial photography. To be done and paid over three years. Should be done between revaluations</t>
  </si>
  <si>
    <t xml:space="preserve">Replacement of 2018 servers </t>
  </si>
  <si>
    <t>Sidewalk Expansions</t>
  </si>
  <si>
    <t>From existing Rt. 32 sidewalk north past post office towards Swanzey Neighbors store</t>
  </si>
  <si>
    <t>Improvements to existing sidewalk system along Rt. 12</t>
  </si>
  <si>
    <t>CIP Cash Contributions</t>
  </si>
  <si>
    <t>NEW FUND</t>
  </si>
  <si>
    <t>Minimal improvements to 120 Pine Street</t>
  </si>
  <si>
    <t>Chipper</t>
  </si>
  <si>
    <t>Road Maint (replaces 2007)</t>
  </si>
  <si>
    <t>Road Maint (replaces 2006)</t>
  </si>
  <si>
    <t>Road Grader</t>
  </si>
  <si>
    <t>Road Maint (Replaces 2013)</t>
  </si>
  <si>
    <t>Contributions/Grants</t>
  </si>
  <si>
    <t xml:space="preserve">These funds in coordination with an LCHIP grant and other funds will allow completion of the 1st floor rehabilitation, roof reconstruction, and site improvements with a total estimated cost of $350,000 in 2021 </t>
  </si>
  <si>
    <t>Grange Hall Rehabilitation Phase I</t>
  </si>
  <si>
    <t>Grange Hall Painting</t>
  </si>
  <si>
    <t>Paint exterior of building</t>
  </si>
  <si>
    <t>West Street (east side)</t>
  </si>
  <si>
    <t>Swanzey Street</t>
  </si>
  <si>
    <t>California St. / California Brook Road</t>
  </si>
  <si>
    <t>???</t>
  </si>
  <si>
    <t>Engineering (35% Town, 65% FEMA)</t>
  </si>
  <si>
    <t>Improvements (35% Town, 65% FEMA)</t>
  </si>
  <si>
    <t>Upsize culvert that is undersized, likely resulting in bridge classification. Costs preliminary and grants are being explored. *</t>
  </si>
  <si>
    <t>West Swanzey AA Park Improvements</t>
  </si>
  <si>
    <t>Replace deck, railings and ramp at Richardson park and add gutters to the building</t>
  </si>
  <si>
    <t>Deck and railings need to be replaced, starting to rot away. Gutters are to help with the waterflow issue.</t>
  </si>
  <si>
    <t>Barrels/ containment/ clean up</t>
  </si>
  <si>
    <t>Able to bale more material at a higher market value</t>
  </si>
  <si>
    <t>Truck scale &amp; scale house</t>
  </si>
  <si>
    <t>Ensure right pricing is charged</t>
  </si>
  <si>
    <t>Priced at all new fencing, possibly just repairing current</t>
  </si>
  <si>
    <t>Tip walls moved, new pads, burn pit walls replaced</t>
  </si>
  <si>
    <t>Priced at paving over current (100'x 400')</t>
  </si>
  <si>
    <t>Facility safety</t>
  </si>
  <si>
    <t xml:space="preserve">Cameras, tip wall gates, parking stops, flex posts, outdoor lighting </t>
  </si>
  <si>
    <t>Fork lift</t>
  </si>
  <si>
    <t>Electric forklift for material handling</t>
  </si>
  <si>
    <t>Skid steer</t>
  </si>
  <si>
    <t>Will get a longer useful life with a forklift as well</t>
  </si>
  <si>
    <t>Skid steer (2030)</t>
  </si>
  <si>
    <t>Soil sifter/ concrete grinder/ back hoe attachment</t>
  </si>
  <si>
    <t>A&amp;E Work</t>
  </si>
  <si>
    <t>Disbursements To Fire Sta. CR</t>
  </si>
  <si>
    <t>ET Transfer</t>
  </si>
  <si>
    <t>Entire Project under fund raising effort.</t>
  </si>
  <si>
    <t>*  Estimated net of state/federal funding.</t>
  </si>
  <si>
    <t>Reconstruction (50% grant received)</t>
  </si>
  <si>
    <t>Reconstruction/Repave (50% grant received)</t>
  </si>
  <si>
    <t>Town Sidewalks</t>
  </si>
  <si>
    <t>Facilities Reserve</t>
  </si>
  <si>
    <t>2020 - Rehab. Roads</t>
  </si>
  <si>
    <t>EM Communications</t>
  </si>
  <si>
    <t>Grange Hall</t>
  </si>
  <si>
    <t xml:space="preserve">Grange Hall </t>
  </si>
  <si>
    <t>Rail Trails</t>
  </si>
  <si>
    <t>From existing Sawyers Crossing sidewalk to Cresson Covered Bridge</t>
  </si>
  <si>
    <t>Mt. Caesar Library</t>
  </si>
  <si>
    <t>2018 - Fire Truck/Dams</t>
  </si>
  <si>
    <t>2022 - Cardiac Monitors</t>
  </si>
  <si>
    <t>Stations 1 and 3</t>
  </si>
  <si>
    <t>Transfer to Rail Trails</t>
  </si>
  <si>
    <t>From Rev. Revolving Fund</t>
  </si>
  <si>
    <t>Match to cover TAP grant and fundraising, amount TBD Const. scheduled for 2025)</t>
  </si>
  <si>
    <t>N.A.</t>
  </si>
  <si>
    <t>Paving</t>
  </si>
  <si>
    <t>Replace the outdated changing/bathrooms and related septic repairs at Richardson Park.</t>
  </si>
  <si>
    <t>Wall repair -- Oak Hill</t>
  </si>
  <si>
    <t>Tree work</t>
  </si>
  <si>
    <t>Webber Hill</t>
  </si>
  <si>
    <t>Erosion -- Under Study</t>
  </si>
  <si>
    <t>Erosion mitigation -- Mt. View</t>
  </si>
  <si>
    <t>SUBJECT TO GRANT RECEIPT</t>
  </si>
  <si>
    <t>Snow Sidewalk Fund</t>
  </si>
  <si>
    <t>Income</t>
  </si>
  <si>
    <t>Snow Sidewalk Fund Balance</t>
  </si>
  <si>
    <t>Spend Rate</t>
  </si>
  <si>
    <t>Material Handling</t>
  </si>
  <si>
    <t>2023 - Recycle</t>
  </si>
  <si>
    <t>Taft</t>
  </si>
  <si>
    <t>Aldrich</t>
  </si>
  <si>
    <t>Forest</t>
  </si>
  <si>
    <t>West (west of Rt 10)</t>
  </si>
  <si>
    <t>Joslin</t>
  </si>
  <si>
    <t>Day</t>
  </si>
  <si>
    <t>Ridge</t>
  </si>
  <si>
    <t>Proposed Debt Service (P+I):</t>
  </si>
  <si>
    <t>6 yr. avg.</t>
  </si>
  <si>
    <t>Cash + Debt Service:</t>
  </si>
  <si>
    <t>2020 Budget</t>
  </si>
  <si>
    <t>Muni Trans:</t>
  </si>
  <si>
    <t>Snow Sidewalk Fund:</t>
  </si>
  <si>
    <t>Total CAPEX Debt Service</t>
  </si>
  <si>
    <t>Annual Bond Debt Service (P+I):</t>
  </si>
  <si>
    <t>Authorized Debt Service:</t>
  </si>
  <si>
    <t>Disbursements:</t>
  </si>
  <si>
    <t>Plow Tractor</t>
  </si>
  <si>
    <t>Sidewalks</t>
  </si>
  <si>
    <t>Northern Counties Grant (see above)</t>
  </si>
  <si>
    <t>MAST Grant (Sidewalks)</t>
  </si>
  <si>
    <t>FEMA Grant</t>
  </si>
  <si>
    <t>Amounts are placeholders for future discussion only.</t>
  </si>
  <si>
    <t>Known unknows:</t>
  </si>
  <si>
    <t>Significate movements within that number are:</t>
  </si>
  <si>
    <t>Annual Reserve Cash Appropriations via Warrant Article:</t>
  </si>
  <si>
    <r>
      <rPr>
        <b/>
        <sz val="10"/>
        <color theme="1"/>
        <rFont val="Calibri"/>
        <family val="2"/>
        <scheme val="minor"/>
      </rPr>
      <t>Annual Debt Service</t>
    </r>
    <r>
      <rPr>
        <sz val="10"/>
        <color theme="1"/>
        <rFont val="Calibri"/>
        <family val="2"/>
        <scheme val="minor"/>
      </rPr>
      <t xml:space="preserve"> (Principal + Interest)</t>
    </r>
    <r>
      <rPr>
        <b/>
        <sz val="10"/>
        <color theme="1"/>
        <rFont val="Calibri"/>
        <family val="2"/>
        <scheme val="minor"/>
      </rPr>
      <t>:</t>
    </r>
  </si>
  <si>
    <t>Six Year Trends:</t>
  </si>
  <si>
    <r>
      <rPr>
        <b/>
        <sz val="10"/>
        <color theme="1"/>
        <rFont val="Calibri"/>
        <family val="2"/>
        <scheme val="minor"/>
      </rPr>
      <t>Annual Total Capital Commitment</t>
    </r>
    <r>
      <rPr>
        <sz val="10"/>
        <color theme="1"/>
        <rFont val="Calibri"/>
        <family val="2"/>
        <scheme val="minor"/>
      </rPr>
      <t xml:space="preserve"> (Reserve Appropriations + Debt Service)</t>
    </r>
    <r>
      <rPr>
        <b/>
        <sz val="10"/>
        <color theme="1"/>
        <rFont val="Calibri"/>
        <family val="2"/>
        <scheme val="minor"/>
      </rPr>
      <t>:</t>
    </r>
  </si>
  <si>
    <t>Some funds may have to be allocated to the Rail Trails or other grant matches.</t>
  </si>
  <si>
    <t>GENERAL FUND MAINTENANCE - NOT CAPITAL BUDGET                                      FOR INFORMATION ONLY</t>
  </si>
  <si>
    <t>This fund covers sidewalks not eligible for the Snow (West Swz) Sidewalk Fund.</t>
  </si>
  <si>
    <t>Emergency Communications:</t>
  </si>
  <si>
    <t>FD Entrance, Front Step Improvement &amp; pillars, &amp; handicap accessibility concerns</t>
  </si>
  <si>
    <t>Assumes use of MRSD's cisterns and/or land</t>
  </si>
  <si>
    <t>Pavilion and other improvements (amount shown is a match to a grant and fundraising)</t>
  </si>
  <si>
    <t>Passenger van for rec outings</t>
  </si>
  <si>
    <t>To take groups out do  activities.</t>
  </si>
  <si>
    <t>Further consideration deferred pending study results.</t>
  </si>
  <si>
    <t>Observations and Notes:</t>
  </si>
  <si>
    <t>Foundation work/rebuild</t>
  </si>
  <si>
    <t>Replace 25 year old chipper with a more modern version that has a winch to make it safer and more efficient</t>
  </si>
  <si>
    <t>Regional medical response solution is undetermined.</t>
  </si>
  <si>
    <t>CR/ET Direct Cash Appropriations:</t>
  </si>
  <si>
    <t>Cost of Richardson Park foundation repair/replacement is not determined.</t>
  </si>
  <si>
    <t>Roads: Webber Hill  erosion and California Brook vs. grants are undetermined.</t>
  </si>
  <si>
    <t>Committee Members</t>
  </si>
  <si>
    <t>Steven Bittel, Chair</t>
  </si>
  <si>
    <t>Deborah Davis</t>
  </si>
  <si>
    <t>Larry Crowder</t>
  </si>
  <si>
    <t>Bruce Bohannon</t>
  </si>
  <si>
    <t>Lynn Rust, CPA</t>
  </si>
  <si>
    <t>RECOMMENDATIONS for 2021 CAPITAL FUNDING</t>
  </si>
  <si>
    <t>F150 Pick Up</t>
  </si>
  <si>
    <t>Trackless Sidewalk plow</t>
  </si>
  <si>
    <t>2020 Contribution</t>
  </si>
  <si>
    <t>Items after 2026 over $50,000</t>
  </si>
  <si>
    <t>Unknown</t>
  </si>
  <si>
    <t xml:space="preserve">Steve - I should have added that for road reconstruction funding purposes I think it is safe to assume the road bond will be spent on projects this year and that currently held funds will be mostly </t>
  </si>
  <si>
    <t xml:space="preserve">spent matching grant funds for the South Winchester/West/Swanzey Street project.  We're trying to close out the books on the Eaton Road project, which will provide more clarity and hopefully more funds/flexibility.  </t>
  </si>
  <si>
    <t>We will be under budget, I'm just not sure how far under yet.</t>
  </si>
  <si>
    <t>Repave &amp; improve drainage</t>
  </si>
  <si>
    <t>Balance, 2020</t>
  </si>
  <si>
    <t>All projects assume other grant funds to help offset costs and numbers are likely low.</t>
  </si>
  <si>
    <t>GMC 2500</t>
  </si>
  <si>
    <t>Yukon</t>
  </si>
  <si>
    <t>Replacement for Squad 1</t>
  </si>
  <si>
    <t>Ambulance</t>
  </si>
  <si>
    <t>Replace ladder truck (2000) with used replacement</t>
  </si>
  <si>
    <t>Water Rescue Trailer</t>
  </si>
  <si>
    <t xml:space="preserve">2020 Contributions:   </t>
  </si>
  <si>
    <t>Year</t>
  </si>
  <si>
    <t>Make/Model</t>
  </si>
  <si>
    <t>Type</t>
  </si>
  <si>
    <t>ID #</t>
  </si>
  <si>
    <t>Miles / Hours</t>
  </si>
  <si>
    <t>Estimated Replacement Cost (2020)</t>
  </si>
  <si>
    <t>CICP Recommended Replacement Year</t>
  </si>
  <si>
    <t>Department Recommended Replacement Year</t>
  </si>
  <si>
    <t>Engine 1</t>
  </si>
  <si>
    <t>14360 Miles</t>
  </si>
  <si>
    <t>Not Listed</t>
  </si>
  <si>
    <t>Engine 2</t>
  </si>
  <si>
    <t>36504Miles 2934Hours</t>
  </si>
  <si>
    <t>-</t>
  </si>
  <si>
    <t>Engine 3</t>
  </si>
  <si>
    <t>5468 Miles 145 Hours</t>
  </si>
  <si>
    <t>Ladder Truck</t>
  </si>
  <si>
    <t>Ladder</t>
  </si>
  <si>
    <t>107223 Miles 1548 Hours</t>
  </si>
  <si>
    <t>&gt;2025</t>
  </si>
  <si>
    <t>Trailer</t>
  </si>
  <si>
    <t>N/A</t>
  </si>
  <si>
    <t>Squad 1 Yukon</t>
  </si>
  <si>
    <t>Truck</t>
  </si>
  <si>
    <t>21159 Miles</t>
  </si>
  <si>
    <t>Car 1 Yukon</t>
  </si>
  <si>
    <t>35639 Miles</t>
  </si>
  <si>
    <t>Squad 3 Yukon</t>
  </si>
  <si>
    <t>86917 Miles</t>
  </si>
  <si>
    <t>Brush Truck</t>
  </si>
  <si>
    <t>7093 Miles</t>
  </si>
  <si>
    <t>Ranger W/Trailer</t>
  </si>
  <si>
    <t>OHRV</t>
  </si>
  <si>
    <t>554 Miles    69.7 Hours</t>
  </si>
  <si>
    <t>Tanker 1</t>
  </si>
  <si>
    <t>Tanker</t>
  </si>
  <si>
    <t>11302 Miles</t>
  </si>
  <si>
    <t>Boat W/Trailer</t>
  </si>
  <si>
    <t>Boat</t>
  </si>
  <si>
    <t>Rescue 1</t>
  </si>
  <si>
    <t>21265 Miles 2098 Hours</t>
  </si>
  <si>
    <t>See Fire Fleet Tab</t>
  </si>
  <si>
    <t>One cruiser (at $35,000; 3 year life) will be purchased every year, and an additional cruiser will be purchased every 3rd year from the Capital Reserve. All cruisers will be equipped (net cost, $20,000)  from the Special Duty Revolving Fund.</t>
  </si>
  <si>
    <t>2020 Addition - Police IMS</t>
  </si>
  <si>
    <t>2020 Addition - Police Facilities</t>
  </si>
  <si>
    <t>Ford Explorer</t>
  </si>
  <si>
    <t>Patrol</t>
  </si>
  <si>
    <t>Spare/Detail</t>
  </si>
  <si>
    <t>Patrol/Admin</t>
  </si>
  <si>
    <t>Ford Taurus</t>
  </si>
  <si>
    <t>Unmarked</t>
  </si>
  <si>
    <t>Investigations</t>
  </si>
  <si>
    <t>GMC 3500</t>
  </si>
  <si>
    <t>Pick Up</t>
  </si>
  <si>
    <t>International 7400</t>
  </si>
  <si>
    <t>Dump Truck</t>
  </si>
  <si>
    <t>F550 Small</t>
  </si>
  <si>
    <t>F350 Flat Bed</t>
  </si>
  <si>
    <t>F150</t>
  </si>
  <si>
    <t>John Deere</t>
  </si>
  <si>
    <t>New Holland</t>
  </si>
  <si>
    <t>Back Hoe</t>
  </si>
  <si>
    <t>1245 Hrs.</t>
  </si>
  <si>
    <t>Champion</t>
  </si>
  <si>
    <t>Grader</t>
  </si>
  <si>
    <t>5272 Hrs.</t>
  </si>
  <si>
    <t>Bombardier Side Walk</t>
  </si>
  <si>
    <t>Plow</t>
  </si>
  <si>
    <t>Trackless Side Walk</t>
  </si>
  <si>
    <t>Bandit Chipper</t>
  </si>
  <si>
    <t>200 Hrs.</t>
  </si>
  <si>
    <t xml:space="preserve">Note: $20,000 is the cost of the spreader for the International Dump Trucks. 165,000 is the base cost. For the F550 Small the base cost is 120,000 and the extra 10,000 is for the expansion of the Cab to allow for safety equipment and plowing wings.  </t>
  </si>
  <si>
    <t>2021 - Station 2</t>
  </si>
  <si>
    <t>(Actual)</t>
  </si>
  <si>
    <t>Par Value</t>
  </si>
  <si>
    <t>2024 - SCBA Lease</t>
  </si>
  <si>
    <t>2024 - DPW</t>
  </si>
  <si>
    <t xml:space="preserve">Other Town Debt:  </t>
  </si>
  <si>
    <t>In 2022 WWTP Annual Debt Service will be reduced by $47K.</t>
  </si>
  <si>
    <t>In 2026 TIF Annual Debt Service will be reduced by $187K.</t>
  </si>
  <si>
    <t>Davis</t>
  </si>
  <si>
    <t>Chip seal / micro surface</t>
  </si>
  <si>
    <t>Supplies DPW (NEW)</t>
  </si>
  <si>
    <t xml:space="preserve">Repave / Chip Seal / Micro Surface  </t>
  </si>
  <si>
    <t>Major Increase</t>
  </si>
  <si>
    <t>Compact Excavater</t>
  </si>
  <si>
    <t>2027&gt;</t>
  </si>
  <si>
    <t>Grant to rent</t>
  </si>
  <si>
    <t>General and Cemetery Work</t>
  </si>
  <si>
    <t>Roads</t>
  </si>
  <si>
    <t>Future service status unknown</t>
  </si>
  <si>
    <t xml:space="preserve">Elevator to Upper Level </t>
  </si>
  <si>
    <t>Chimney Repair</t>
  </si>
  <si>
    <t>Carried forward from 2020 budget due to Director vacancy.</t>
  </si>
  <si>
    <t>Supporting Notes</t>
  </si>
  <si>
    <t>Item Info</t>
  </si>
  <si>
    <t>Cost Breakdown</t>
  </si>
  <si>
    <t>Clear span</t>
  </si>
  <si>
    <t xml:space="preserve">120' wide x 150' long- useful life (50 years) building </t>
  </si>
  <si>
    <t>building materials</t>
  </si>
  <si>
    <t>Estimated at prevailing wages</t>
  </si>
  <si>
    <t>Labor</t>
  </si>
  <si>
    <t>Foundation</t>
  </si>
  <si>
    <t xml:space="preserve">10% contingency- </t>
  </si>
  <si>
    <t>Old Main Building- New Storage</t>
  </si>
  <si>
    <t>Electrical work &amp; lighting</t>
  </si>
  <si>
    <t>insulation/ aluminum siding- est. $7 sq ft.</t>
  </si>
  <si>
    <t>New siding &amp; insulation</t>
  </si>
  <si>
    <t>Seal floor  etc./ 2 new overhead doors</t>
  </si>
  <si>
    <t>Waste Oil Storage Building</t>
  </si>
  <si>
    <t>Kit building materials</t>
  </si>
  <si>
    <t>Electrical</t>
  </si>
  <si>
    <t>Garage doors</t>
  </si>
  <si>
    <t>Waste Oil Burner and Supplies</t>
  </si>
  <si>
    <t>Holds 120% of a 55 gallon drum. DES requires 110%</t>
  </si>
  <si>
    <t>Drum spill containment pallets x22</t>
  </si>
  <si>
    <t>Waste oil burner</t>
  </si>
  <si>
    <t>Translucent poly oil drums x22</t>
  </si>
  <si>
    <t>Mobile oil spill kits  x5</t>
  </si>
  <si>
    <t>5% contingency</t>
  </si>
  <si>
    <t>Horizontal Baler</t>
  </si>
  <si>
    <t>Horizontal baler with conveyor</t>
  </si>
  <si>
    <t>Delivery, installation, start up and training</t>
  </si>
  <si>
    <t>4% Sourcewell discount for installation &amp; training</t>
  </si>
  <si>
    <t>Oil cooler system</t>
  </si>
  <si>
    <t>Truck Scale and Scale house</t>
  </si>
  <si>
    <t>See breakdown/ scale needs 110'-120' total</t>
  </si>
  <si>
    <t>Scale foundation</t>
  </si>
  <si>
    <t>40' concrete scale deck</t>
  </si>
  <si>
    <t>Scale house</t>
  </si>
  <si>
    <t>Installation &amp; calibration</t>
  </si>
  <si>
    <t>Freight</t>
  </si>
  <si>
    <t>Outside remote display</t>
  </si>
  <si>
    <t>Scale printer</t>
  </si>
  <si>
    <t>Equipment rental or contract out or DPW</t>
  </si>
  <si>
    <t>Equipment rental</t>
  </si>
  <si>
    <t>24'x long x 10' wide or 240 sq feet (6 tip walls)</t>
  </si>
  <si>
    <t>Tip wall concrete pads</t>
  </si>
  <si>
    <t>126 blocks @ $50 per</t>
  </si>
  <si>
    <t>Tip wall blocks</t>
  </si>
  <si>
    <t>120 blocks includes both pits @ $50 each</t>
  </si>
  <si>
    <t>Burn pit walls</t>
  </si>
  <si>
    <t>16' wide x 12' long x 6' high (3) bunkers- 72 blocks</t>
  </si>
  <si>
    <t>Concrete, porcelain, brick bunkers</t>
  </si>
  <si>
    <t xml:space="preserve">5% contingency </t>
  </si>
  <si>
    <t>Repave main parking lot</t>
  </si>
  <si>
    <t>estimated $8 per sq. ft.    (2) 400 sq</t>
  </si>
  <si>
    <t>New concrete pads for compactors</t>
  </si>
  <si>
    <t>Surveillance cameras</t>
  </si>
  <si>
    <t>6 tip walls @ 24' each x2  rails per 8' section and 3 post</t>
  </si>
  <si>
    <t>Tip wall safety gates</t>
  </si>
  <si>
    <t>15 parking stops@ $65 each</t>
  </si>
  <si>
    <t>Parking stops</t>
  </si>
  <si>
    <t>Flex posts &amp; adhesive pads</t>
  </si>
  <si>
    <t>Tip walls and high traffic areas that are dark</t>
  </si>
  <si>
    <t>Solar lights</t>
  </si>
  <si>
    <t>Forklift</t>
  </si>
  <si>
    <t>Bobcat S740</t>
  </si>
  <si>
    <t>Bobcat Bucket</t>
  </si>
  <si>
    <t>Bobcat forks</t>
  </si>
  <si>
    <t>Bobcat solid tires</t>
  </si>
  <si>
    <t>Better handling of rubble</t>
  </si>
  <si>
    <t>Hog concrete crusher</t>
  </si>
  <si>
    <t>Revenue generator for crushed rubble/ compost</t>
  </si>
  <si>
    <t xml:space="preserve">ez screen 100 </t>
  </si>
  <si>
    <t>Bobcat backhoe attachment</t>
  </si>
  <si>
    <t>Material handling</t>
  </si>
  <si>
    <t>(10) @ $1,075.52 each</t>
  </si>
  <si>
    <t>Plastic tilt storage carts</t>
  </si>
  <si>
    <t>(5) @$1,283 each</t>
  </si>
  <si>
    <t>Metal outdoor tilt storage carts</t>
  </si>
  <si>
    <t>Main building improvements</t>
  </si>
  <si>
    <t>3 lane drive through, siding, office area, breakroom, public BR, more sorting windows</t>
  </si>
  <si>
    <t>Waste oil building</t>
  </si>
  <si>
    <t>Waste oil burner &amp; supplies</t>
  </si>
  <si>
    <t>Horizontal baler #2 (2030)</t>
  </si>
  <si>
    <t>indoor storage tilt carts/ outdoor tilt bins for material</t>
  </si>
  <si>
    <t>Replacement for Car 1 (Command Unit)</t>
  </si>
  <si>
    <t>Additional vehicle forCapt./Fire and Safety Inspector, which is old Squad 3 that was  to be replaced by the ambulance</t>
  </si>
  <si>
    <t>General Use</t>
  </si>
  <si>
    <t>Command dual bands</t>
  </si>
  <si>
    <t>E-Communications:</t>
  </si>
  <si>
    <t>Engine 2 (2000) Replacement (Demo Model)</t>
  </si>
  <si>
    <t>Ladder Truck Replacement</t>
  </si>
  <si>
    <t>Various pieces of equipment for stations and apparatus, including major replacing hose</t>
  </si>
  <si>
    <t>Other high cost replacements???</t>
  </si>
  <si>
    <t>Heavy Rescue</t>
  </si>
  <si>
    <t>Replace Rescue 1 (2000)</t>
  </si>
  <si>
    <t>Replaced by dual-use new Engine 2</t>
  </si>
  <si>
    <t>Ambulance Grant ($50K)</t>
  </si>
  <si>
    <t>Amount Expended through 6/30/20</t>
  </si>
  <si>
    <t>Fire - Portable &amp; mobile radios:</t>
  </si>
  <si>
    <t>Arrowcrest Drive Fire Pond</t>
  </si>
  <si>
    <t>Dredge existing wetland and install dry hyrdrants</t>
  </si>
  <si>
    <t>Old Homestead Highway &amp; Martin Brook Dry Hydrant</t>
  </si>
  <si>
    <t>Install dry hydrant in conjunction with NH DOT reconstruction of Martin Brook bridge</t>
  </si>
  <si>
    <t>MRHS Dry Hydrants</t>
  </si>
  <si>
    <t>Replace 2 existing dry hydrants and complete dredging, if needed</t>
  </si>
  <si>
    <t>Sawmill Drive Dry Hydrants</t>
  </si>
  <si>
    <t>544 Monadnock Highway Fire Pond</t>
  </si>
  <si>
    <t>Whittemore Farm Road Fire Pond</t>
  </si>
  <si>
    <t>Construct fire pond and install dry hyrdrants</t>
  </si>
  <si>
    <t>Private Contributions</t>
  </si>
  <si>
    <t>Memorandum – Office of Planning &amp; Economic Development</t>
  </si>
  <si>
    <t xml:space="preserve">Eric Mattson and Andy Fisher of the Fire Department, Mike Jasmin, and I have been discussing recommendations for the Fire Pond budget in the Capital Improvement Program based on the 2010 Rural Fire Water Resource Plan and improvements that have already been completed since then. We are recommending 6 projects with a total estimated cost of $325,000. These projects were selected because of proximity to high population residential areas and commercial corridors where there is inadequate water supply. In addition to providing coverage for existing properties, investment in fire pond infrastructure along Routes 10 and 12 will help support new development that might not otherwise happen due to inadequate water resources for fire suppression. </t>
  </si>
  <si>
    <r>
      <t>·</t>
    </r>
    <r>
      <rPr>
        <sz val="7"/>
        <color theme="1"/>
        <rFont val="Times New Roman"/>
        <family val="1"/>
      </rPr>
      <t xml:space="preserve">         </t>
    </r>
    <r>
      <rPr>
        <sz val="12"/>
        <color theme="1"/>
        <rFont val="Times New Roman"/>
        <family val="1"/>
      </rPr>
      <t xml:space="preserve">Arrowcrest Drive and Martin Brook Bridge (2022): dredging existing wetland on Arrowcrest Drive to provide sufficient water supply and installing dry hydrants. This project would help provide coverage for the residential neighborhoods on Marcy Hill Road and Arrowcrest Drive as well as commercial properties on Route 12. NH DOT will be reconstructing the Martin Brook Bridge on Old Homestead Highway in 2022 and we hope to coordinate with them to have a dry hydrant installed as part of that project. </t>
    </r>
  </si>
  <si>
    <r>
      <t>·</t>
    </r>
    <r>
      <rPr>
        <sz val="7"/>
        <color theme="1"/>
        <rFont val="Times New Roman"/>
        <family val="1"/>
      </rPr>
      <t xml:space="preserve">         </t>
    </r>
    <r>
      <rPr>
        <sz val="12"/>
        <color theme="1"/>
        <rFont val="Times New Roman"/>
        <family val="1"/>
      </rPr>
      <t xml:space="preserve">Sawmill Drive &amp; Monadnock Regional High School (2023): replace existing hydrants and complete dredging if needed. These would both be maintenance projects. These dry hydrants provide important coverage for residential neighborhoods in Swanzey Center, Monadnock Regional School District facilities, Town Hall, and Mt. Caesar Library. </t>
    </r>
  </si>
  <si>
    <r>
      <t>·</t>
    </r>
    <r>
      <rPr>
        <sz val="7"/>
        <color theme="1"/>
        <rFont val="Times New Roman"/>
        <family val="1"/>
      </rPr>
      <t xml:space="preserve">         </t>
    </r>
    <r>
      <rPr>
        <sz val="12"/>
        <color theme="1"/>
        <rFont val="Times New Roman"/>
        <family val="1"/>
      </rPr>
      <t xml:space="preserve">544 Monadnock Highway (2024): dredge existing wetland to provide sufficient water supply and installing dry hydrants. This project would help provide coverage for commercial properties on Route 12 in the area of Flat Roof Mill Road. </t>
    </r>
  </si>
  <si>
    <r>
      <t>·</t>
    </r>
    <r>
      <rPr>
        <sz val="7"/>
        <color theme="1"/>
        <rFont val="Times New Roman"/>
        <family val="1"/>
      </rPr>
      <t xml:space="preserve">         </t>
    </r>
    <r>
      <rPr>
        <sz val="12"/>
        <color theme="1"/>
        <rFont val="Times New Roman"/>
        <family val="1"/>
      </rPr>
      <t xml:space="preserve">Whittemore Farm Road (2025): construct fire pond and install dry hydrants. This project would provide coverage for commercial properties in the areas of Route 10 and Base Hill/Whittemore Farm Roads. </t>
    </r>
  </si>
  <si>
    <t xml:space="preserve">We anticipate the projects on Arrowcrest Drive, Sawmill Drive, and at the Martin Brook bridge and Monadnock High School would be entirely covered by the Town. Our goal is to pay for the fire ponds at 544 Monadnock Highway and on Whittemore Farm Road through a combination of CIP cash contributions, private contributions from benefitting property owners, and grant funds. We believe these projects may be eligible for federal economic development grant programs, such as USDA Rural Development and Northern Border Regional Commission. </t>
  </si>
  <si>
    <t>2020 Remaining</t>
  </si>
  <si>
    <t>Base Stations (3)</t>
  </si>
  <si>
    <t>Bond Vote in 2025</t>
  </si>
  <si>
    <t>2026 - Fire Trucks - Ladder 1</t>
  </si>
  <si>
    <t>New Fund; match grants in progress</t>
  </si>
  <si>
    <t>Remaining 2020 Exp.</t>
  </si>
  <si>
    <t>(Also $1K in NRFs)</t>
  </si>
  <si>
    <t>Balance, September 30, 2020</t>
  </si>
  <si>
    <t>are these prices after discount?</t>
  </si>
  <si>
    <t>Extension</t>
  </si>
  <si>
    <t>Budget</t>
  </si>
  <si>
    <t>FD Radios Option 1</t>
  </si>
  <si>
    <t>Motorola APX 8000 x10</t>
  </si>
  <si>
    <t>$3,600 per radio</t>
  </si>
  <si>
    <t>Officers only this year, 40% Discount</t>
  </si>
  <si>
    <t>FD Radios Option 2</t>
  </si>
  <si>
    <t>Motorola APX 6000 x10</t>
  </si>
  <si>
    <t>$1,936 per radio</t>
  </si>
  <si>
    <t>FD Radios Option 3</t>
  </si>
  <si>
    <t>APX 8000* x4, 6000**x6</t>
  </si>
  <si>
    <t xml:space="preserve"> 8000s for Chiefs, 6000s for Captains and Lts.</t>
  </si>
  <si>
    <t>Before we had  6000s and 4000s; what is the 8000?</t>
  </si>
  <si>
    <t>Do we still need 40 4000 units?</t>
  </si>
  <si>
    <t>Balance, Sept. 30, 2020</t>
  </si>
  <si>
    <t>Further study deferred to 2022 Budget due to personnel change.</t>
  </si>
  <si>
    <t>Repeaters (2)</t>
  </si>
  <si>
    <t xml:space="preserve">Portable radio mfg. service terminates in 2021  </t>
  </si>
  <si>
    <t>Need for dual bands TBD</t>
  </si>
  <si>
    <t>Balances, September 30, 2020:</t>
  </si>
  <si>
    <t>Includes Revolving Fund</t>
  </si>
  <si>
    <t>G. Whitcomb</t>
  </si>
  <si>
    <t>L. Carpenter</t>
  </si>
  <si>
    <t>Before Operating Charges</t>
  </si>
  <si>
    <t>Portable APX 8000 - 6 units @ $3,600</t>
  </si>
  <si>
    <t>Portable APX 6000 -  32 units @ $1,950</t>
  </si>
  <si>
    <t>Mobile APX 8000 - 4 units @3,300 *</t>
  </si>
  <si>
    <t>* New vehicle costs should include radios.</t>
  </si>
  <si>
    <t>Includes decontamination</t>
  </si>
  <si>
    <t>Absent a grant, consider finance</t>
  </si>
  <si>
    <t>Gold Property Demo *</t>
  </si>
  <si>
    <t>* Reimburseable via bond.</t>
  </si>
  <si>
    <t>Net Bond Funding</t>
  </si>
  <si>
    <t>Expendable Trust - $12400</t>
  </si>
  <si>
    <t xml:space="preserve">Library Software Project: </t>
  </si>
  <si>
    <t>$5000 - convert shelf list cards to bar codes</t>
  </si>
  <si>
    <t>$1000 - computer and other hardware</t>
  </si>
  <si>
    <t>$3100 - Software, Printer, Scanner, ext warranties</t>
  </si>
  <si>
    <t>Other projects:</t>
  </si>
  <si>
    <t>$2300 Camera Surveillance System</t>
  </si>
  <si>
    <t>$1000 Book Drop Box</t>
  </si>
  <si>
    <t>Computer, etc.</t>
  </si>
  <si>
    <t>Software, Scanner/Printer</t>
  </si>
  <si>
    <t>Book Drop Box</t>
  </si>
  <si>
    <t>Camera Surveillance System</t>
  </si>
  <si>
    <t>Shelf List Cards to Barcode System</t>
  </si>
  <si>
    <t>Major Decrease due to possible bonding</t>
  </si>
  <si>
    <t>Cash (prior page) + Debt Service (Tax Impact)</t>
  </si>
  <si>
    <t>2011 - SCBA Lease</t>
  </si>
  <si>
    <t>Major Net Increase/Decrease Causes</t>
  </si>
  <si>
    <t>2027 (24,300)</t>
  </si>
  <si>
    <t>Combine with another project.</t>
  </si>
  <si>
    <t>2023 - Town Hall</t>
  </si>
  <si>
    <t>2022 - Dams</t>
  </si>
  <si>
    <t>Now cash funded</t>
  </si>
  <si>
    <t>Critical Reserve</t>
  </si>
  <si>
    <t>Major Incr. - Temp. increase cash funding</t>
  </si>
  <si>
    <t>2026 - Fire Truck, Ladder 1</t>
  </si>
  <si>
    <t>Concrete is cheaper and will last longer</t>
  </si>
  <si>
    <t>Estimated $1.70 per square foot Approx. 100' x 400' (40,000 sq)</t>
  </si>
  <si>
    <t>Replace traffic cones, will bend to not cause damage to vehicle</t>
  </si>
  <si>
    <t>Better handling of indoor material (priced new)</t>
  </si>
  <si>
    <t>3,100 lb. rated operating lift capacity</t>
  </si>
  <si>
    <t>maintaining construction bins and burn pits</t>
  </si>
  <si>
    <t xml:space="preserve">Misc. repairs </t>
  </si>
  <si>
    <t>New lighting, explosion lights</t>
  </si>
  <si>
    <t>Replace the Town Clerk's current BMSI software with Avatar, similar to what has been installed in the Tax Collector and Assessing offices</t>
  </si>
  <si>
    <t>The Town's current financial software BMSI is DOS based, is antiquated, and has significant limitations.  Although a review of new software has not yet begun because other software updates are a higher priority, options should be reviewed in the mid to later years of this plan.</t>
  </si>
  <si>
    <t>Wt. Article Auth (2020)</t>
  </si>
  <si>
    <t>Note: $36,000 is the Base cost of  the cruisers. An additional 8,000 will be used from the Police Detail Revolving Fund to cover the cost of outfitting the cruisers with the correct equipment. Investigations cruiser is not up for total renewal in the foreseeable future, thus the 10,000 is only there to refurbish the car with general maintenance.</t>
  </si>
  <si>
    <t xml:space="preserve"> </t>
  </si>
  <si>
    <t>2020 AV</t>
  </si>
  <si>
    <t>Tax Effect in 2021</t>
  </si>
  <si>
    <t>2021 Budget, above</t>
  </si>
  <si>
    <t>Total Warrant Article Direct Cash</t>
  </si>
  <si>
    <t>Budget Deltas:</t>
  </si>
  <si>
    <t>Estimates for Town Hall and DPW renovations are undetermined placeholders.</t>
  </si>
  <si>
    <t>Future needs of recycling streams/economics remain uncertain.</t>
  </si>
  <si>
    <t>Amend Cemetery Expansion to include major maintenance and improvements.</t>
  </si>
  <si>
    <t>Recommended Reserve Account changes via Warrant Articles are:</t>
  </si>
  <si>
    <t>Late year staff turnovers in DPW and Recreation resulted in carrying forward prior budgets without modification until the 2022 budget.</t>
  </si>
  <si>
    <t>Vote in 2025</t>
  </si>
  <si>
    <t>Future bond issues are contemplated for buildings: Town Hall and DPW (average of $600,000/issue).</t>
  </si>
  <si>
    <t>The effectiveness, including length of probable service life extension, of possible repairs is better understood; and</t>
  </si>
  <si>
    <t>Although the Committee's consensus was to support the acquisition of a new Engine 2, especially the dual Rescue/Pumper</t>
  </si>
  <si>
    <t>function (enabling a fleet reduction of the current heavy rescue truck), it chose to defer action until and because of:</t>
  </si>
  <si>
    <t>Sly Karasinski - Selectmen's Rep.</t>
  </si>
  <si>
    <t>Jane Johnson - Planning Board's Rep.</t>
  </si>
  <si>
    <t>See Comments re. Proposed Change in Fund Use</t>
  </si>
  <si>
    <t>Tax Rate Increase per 1,000 (Decrease)</t>
  </si>
  <si>
    <t>Tax Rates:</t>
  </si>
  <si>
    <t>Town</t>
  </si>
  <si>
    <t>9/30/20 Balance</t>
  </si>
  <si>
    <t>Station 1 Doors</t>
  </si>
  <si>
    <t>Bond Vote in 2022</t>
  </si>
  <si>
    <t>New would be combo Engine and Heavy Rescue, enabling retirement of 2000 Rescue 1. Includes $100K of n ew other equipment.</t>
  </si>
  <si>
    <t>Late 2020 Expenditures</t>
  </si>
  <si>
    <t>Late 2020 Disbursements</t>
  </si>
  <si>
    <t>Purchased in 2020</t>
  </si>
  <si>
    <t>Christan Hill Engineering</t>
  </si>
  <si>
    <t>Station</t>
  </si>
  <si>
    <t xml:space="preserve"> increase will occur in 2022.</t>
  </si>
  <si>
    <t>Pending New Station 2 Decision</t>
  </si>
  <si>
    <t xml:space="preserve"> Recreation (Camp) Revolving Fund had a net balance of $93K as of 10/31/20. A portion of such funds may be used for CAPEX.</t>
  </si>
  <si>
    <t>GF Tax</t>
  </si>
  <si>
    <t>Undesignated Funds</t>
  </si>
  <si>
    <t>Original Budget</t>
  </si>
  <si>
    <t>Cut</t>
  </si>
  <si>
    <t>CIPC Initial Cut</t>
  </si>
  <si>
    <t>2019 Bond Prop</t>
  </si>
  <si>
    <t>2020 WA Budget</t>
  </si>
  <si>
    <t>Station Budget</t>
  </si>
  <si>
    <t>New CIPC Budget</t>
  </si>
  <si>
    <t>Reduced by $500,000</t>
  </si>
  <si>
    <t>Pending</t>
  </si>
  <si>
    <t>Soft Number</t>
  </si>
  <si>
    <t>Vehicle Repairs/Replace.</t>
  </si>
  <si>
    <t>Vehicle Repairs/Replacement (NEW ACC'T)</t>
  </si>
  <si>
    <t>DPW Net Increase $85,000</t>
  </si>
  <si>
    <t>the fact that there presently is no storage facility for the proposed larger vehicle, and likely will not be for at least two years.</t>
  </si>
  <si>
    <t>DPW's large increase of $85,000, of which Roads constitute $50,000.</t>
  </si>
  <si>
    <t>This iteration reduces Fire Station 2 Bond  by $500,000.</t>
  </si>
  <si>
    <t>Possible Reductions to 2021 Warrant</t>
  </si>
  <si>
    <t>Fund</t>
  </si>
  <si>
    <t>Road Rehab</t>
  </si>
  <si>
    <t>Fire Ponds</t>
  </si>
  <si>
    <t>Winter Maintenance</t>
  </si>
  <si>
    <t>Cemetery Maintenance</t>
  </si>
  <si>
    <t>Recycling Center</t>
  </si>
  <si>
    <t>Tax Rate impact</t>
  </si>
  <si>
    <t xml:space="preserve">                  Proforma Restatement to Reflect Selectboard's Proposed Changes, January 9, 2021</t>
  </si>
  <si>
    <t>2021 - Fire Trucks - Engine 2</t>
  </si>
  <si>
    <t>2021- Fire Truck, Engine 2</t>
  </si>
  <si>
    <t>Year-over-year there is $24,000 increase (4.3%).</t>
  </si>
  <si>
    <t>Town Hall Improvement reduction is an offset for the next several years by Recycling Center Rehab Project (now all cash).</t>
  </si>
  <si>
    <t>Fire Net Increase $10,000</t>
  </si>
  <si>
    <t>CHANGED BY WA PETITION</t>
  </si>
  <si>
    <t>Entirely due to one-half year servicing of the new Fire debt( Engine plus Station) of $3.6 million; a similar</t>
  </si>
  <si>
    <t>Year-over-year there is an $110,000 increase (+35%) .</t>
  </si>
  <si>
    <t>The increase also represents an increase in the 2020 Budgeted Commitment of $110,000.</t>
  </si>
  <si>
    <t>Annual debt service nearly would increase from 2020/2021 levels (from approximately $400,000 to $665,000).</t>
  </si>
  <si>
    <t>Year-over-year there is $134,000 increase (15%) - entirely due to first half year of Fire Station 2 debt service.</t>
  </si>
  <si>
    <t>Seven year Total Commitment increases by $495,000 (57%).</t>
  </si>
  <si>
    <t>Via Special WA</t>
  </si>
  <si>
    <t>WA to terminate to GF</t>
  </si>
  <si>
    <t>Proposed by special Warrant Article</t>
  </si>
  <si>
    <t>used for rehab.; no debt financing</t>
  </si>
  <si>
    <t>Winter DPW</t>
  </si>
  <si>
    <t>Revals</t>
  </si>
  <si>
    <t>MCUL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</si>
</sst>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 numFmtId="165" formatCode="0_);\(0\)"/>
    <numFmt numFmtId="166" formatCode="_(&quot;$&quot;* #,##0_);_(&quot;$&quot;* \(#,##0\);_(&quot;$&quot;* &quot;-&quot;??_);_(@_)"/>
    <numFmt numFmtId="167" formatCode="m/d/yy;@"/>
    <numFmt numFmtId="168" formatCode="[$-409]mmmm\ d\,\ yyyy;@"/>
    <numFmt numFmtId="169" formatCode="0.0%"/>
    <numFmt numFmtId="170" formatCode="&quot;$&quot;#,##0.00"/>
    <numFmt numFmtId="171" formatCode="#,##0.00;[Red]#,##0.00"/>
  </numFmts>
  <fonts count="53"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sz val="14"/>
      <color theme="1"/>
      <name val="Calibri"/>
      <family val="2"/>
      <scheme val="minor"/>
    </font>
    <font>
      <sz val="8"/>
      <color theme="1"/>
      <name val="Calibri"/>
      <family val="2"/>
      <scheme val="minor"/>
    </font>
    <font>
      <u val="singleAccounting"/>
      <sz val="10"/>
      <color theme="1"/>
      <name val="Calibri"/>
      <family val="2"/>
      <scheme val="minor"/>
    </font>
    <font>
      <sz val="9"/>
      <color theme="1"/>
      <name val="Calibri"/>
      <family val="2"/>
      <scheme val="minor"/>
    </font>
    <font>
      <u val="doubleAccounting"/>
      <sz val="10"/>
      <color theme="1"/>
      <name val="Calibri"/>
      <family val="2"/>
      <scheme val="minor"/>
    </font>
    <font>
      <sz val="10"/>
      <color rgb="FFFF0000"/>
      <name val="Calibri"/>
      <family val="2"/>
      <scheme val="minor"/>
    </font>
    <font>
      <u/>
      <sz val="10"/>
      <color theme="1"/>
      <name val="Calibri"/>
      <family val="2"/>
      <scheme val="minor"/>
    </font>
    <font>
      <sz val="10"/>
      <name val="Calibri"/>
      <family val="2"/>
      <scheme val="minor"/>
    </font>
    <font>
      <b/>
      <sz val="16"/>
      <color theme="1"/>
      <name val="Calibri"/>
      <family val="2"/>
      <scheme val="minor"/>
    </font>
    <font>
      <sz val="16"/>
      <color theme="1"/>
      <name val="Calibri"/>
      <family val="2"/>
      <scheme val="minor"/>
    </font>
    <font>
      <sz val="10"/>
      <name val="Bookman Old Style"/>
      <family val="1"/>
    </font>
    <font>
      <b/>
      <sz val="18"/>
      <color rgb="FF231F20"/>
      <name val="Times New Roman"/>
      <family val="1"/>
    </font>
    <font>
      <sz val="9"/>
      <color rgb="FF231F20"/>
      <name val="Times New Roman"/>
      <family val="1"/>
    </font>
    <font>
      <b/>
      <sz val="12"/>
      <color rgb="FFFF0000"/>
      <name val="Calibri"/>
      <family val="2"/>
      <scheme val="minor"/>
    </font>
    <font>
      <sz val="22"/>
      <color rgb="FFFF0000"/>
      <name val="Calibri"/>
      <family val="2"/>
      <scheme val="minor"/>
    </font>
    <font>
      <b/>
      <sz val="12"/>
      <color theme="1"/>
      <name val="Calibri"/>
      <family val="2"/>
      <scheme val="minor"/>
    </font>
    <font>
      <b/>
      <sz val="10"/>
      <color rgb="FFFF0000"/>
      <name val="Calibri"/>
      <family val="2"/>
      <scheme val="minor"/>
    </font>
    <font>
      <sz val="10"/>
      <name val="Arial"/>
      <family val="2"/>
    </font>
    <font>
      <sz val="10"/>
      <name val="Arial"/>
      <family val="2"/>
    </font>
    <font>
      <i/>
      <sz val="10"/>
      <color theme="1"/>
      <name val="Calibri"/>
      <family val="2"/>
      <scheme val="minor"/>
    </font>
    <font>
      <vertAlign val="superscript"/>
      <sz val="8"/>
      <color theme="1"/>
      <name val="Calibri"/>
      <family val="2"/>
      <scheme val="minor"/>
    </font>
    <font>
      <b/>
      <sz val="9"/>
      <color theme="1"/>
      <name val="Calibri"/>
      <family val="2"/>
      <scheme val="minor"/>
    </font>
    <font>
      <b/>
      <sz val="9"/>
      <color rgb="FFFF0000"/>
      <name val="Calibri"/>
      <family val="2"/>
      <scheme val="minor"/>
    </font>
    <font>
      <sz val="8"/>
      <name val="Calibri"/>
      <family val="2"/>
      <scheme val="minor"/>
    </font>
    <font>
      <b/>
      <sz val="14"/>
      <color rgb="FFFF0000"/>
      <name val="Calibri"/>
      <family val="2"/>
      <scheme val="minor"/>
    </font>
    <font>
      <b/>
      <u val="singleAccounting"/>
      <sz val="10"/>
      <color theme="1"/>
      <name val="Calibri"/>
      <family val="2"/>
      <scheme val="minor"/>
    </font>
    <font>
      <b/>
      <u/>
      <sz val="10"/>
      <color theme="1"/>
      <name val="Calibri"/>
      <family val="2"/>
      <scheme val="minor"/>
    </font>
    <font>
      <sz val="18"/>
      <color theme="1"/>
      <name val="Calibri"/>
      <family val="2"/>
      <scheme val="minor"/>
    </font>
    <font>
      <b/>
      <u val="doubleAccounting"/>
      <sz val="10"/>
      <color theme="1"/>
      <name val="Calibri"/>
      <family val="2"/>
      <scheme val="minor"/>
    </font>
    <font>
      <b/>
      <sz val="9"/>
      <color rgb="FF231F20"/>
      <name val="Times New Roman"/>
      <family val="1"/>
    </font>
    <font>
      <b/>
      <sz val="9"/>
      <name val="Times New Roman"/>
      <family val="1"/>
    </font>
    <font>
      <sz val="9"/>
      <name val="Times New Roman"/>
      <family val="1"/>
    </font>
    <font>
      <sz val="10"/>
      <name val="Times New Roman"/>
      <family val="1"/>
    </font>
    <font>
      <i/>
      <sz val="8"/>
      <color theme="1"/>
      <name val="Calibri"/>
      <family val="2"/>
      <scheme val="minor"/>
    </font>
    <font>
      <b/>
      <sz val="14"/>
      <color theme="1"/>
      <name val="Calibri"/>
      <family val="2"/>
      <scheme val="minor"/>
    </font>
    <font>
      <b/>
      <sz val="11"/>
      <color theme="1"/>
      <name val="Times New Roman"/>
      <family val="1"/>
    </font>
    <font>
      <sz val="6"/>
      <color theme="1"/>
      <name val="Times New Roman"/>
      <family val="1"/>
    </font>
    <font>
      <sz val="12"/>
      <color theme="1"/>
      <name val="Times New Roman"/>
      <family val="1"/>
    </font>
    <font>
      <sz val="12"/>
      <color theme="1"/>
      <name val="Symbol"/>
      <family val="1"/>
      <charset val="2"/>
    </font>
    <font>
      <sz val="7"/>
      <color theme="1"/>
      <name val="Times New Roman"/>
      <family val="1"/>
    </font>
    <font>
      <b/>
      <sz val="12"/>
      <color rgb="FF000000"/>
      <name val="Arial"/>
      <family val="2"/>
    </font>
    <font>
      <b/>
      <sz val="8"/>
      <color rgb="FF000000"/>
      <name val="Arial"/>
      <family val="2"/>
    </font>
    <font>
      <sz val="11"/>
      <color theme="1"/>
      <name val="Arial"/>
      <family val="2"/>
    </font>
  </fonts>
  <fills count="12">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rgb="FFFFC000"/>
        <bgColor indexed="64"/>
      </patternFill>
    </fill>
  </fills>
  <borders count="40">
    <border>
      <left/>
      <right/>
      <top/>
      <bottom/>
      <diagonal/>
    </border>
    <border>
      <left style="thin">
        <color indexed="64"/>
      </left>
      <right style="thin">
        <color indexed="64"/>
      </right>
      <top style="thin">
        <color indexed="64"/>
      </top>
      <bottom style="double">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double">
        <color indexed="64"/>
      </bottom>
      <diagonal/>
    </border>
    <border>
      <left/>
      <right style="thin">
        <color auto="1"/>
      </right>
      <top style="thin">
        <color auto="1"/>
      </top>
      <bottom style="double">
        <color auto="1"/>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auto="1"/>
      </top>
      <bottom style="thin">
        <color auto="1"/>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0">
    <xf numFmtId="0" fontId="0" fillId="0" borderId="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3" fontId="7" fillId="0" borderId="0" applyFont="0" applyFill="0" applyBorder="0" applyAlignment="0" applyProtection="0"/>
    <xf numFmtId="0" fontId="20" fillId="0" borderId="0"/>
    <xf numFmtId="43" fontId="6" fillId="0" borderId="0" applyFont="0" applyFill="0" applyBorder="0" applyAlignment="0" applyProtection="0"/>
    <xf numFmtId="0" fontId="27" fillId="0" borderId="0"/>
    <xf numFmtId="0" fontId="28" fillId="0" borderId="0"/>
    <xf numFmtId="44"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8" fillId="0" borderId="0"/>
    <xf numFmtId="0" fontId="3" fillId="0" borderId="0"/>
    <xf numFmtId="44" fontId="28" fillId="0" borderId="0" applyFont="0" applyFill="0" applyBorder="0" applyAlignment="0" applyProtection="0"/>
    <xf numFmtId="43" fontId="28" fillId="0" borderId="0" applyFont="0" applyFill="0" applyBorder="0" applyAlignment="0" applyProtection="0"/>
    <xf numFmtId="0" fontId="2" fillId="0" borderId="0"/>
    <xf numFmtId="0" fontId="1" fillId="0" borderId="0"/>
    <xf numFmtId="44" fontId="1" fillId="0" borderId="0" applyFont="0" applyFill="0" applyBorder="0" applyAlignment="0" applyProtection="0"/>
  </cellStyleXfs>
  <cellXfs count="676">
    <xf numFmtId="0" fontId="0" fillId="0" borderId="0" xfId="0"/>
    <xf numFmtId="164" fontId="0" fillId="0" borderId="1" xfId="0" applyNumberFormat="1" applyBorder="1"/>
    <xf numFmtId="0" fontId="0" fillId="0" borderId="2" xfId="0" applyBorder="1"/>
    <xf numFmtId="0" fontId="0" fillId="0" borderId="0" xfId="0" applyBorder="1"/>
    <xf numFmtId="164" fontId="0" fillId="0" borderId="0" xfId="1" applyNumberFormat="1" applyFont="1"/>
    <xf numFmtId="164" fontId="0" fillId="0" borderId="6" xfId="1" applyNumberFormat="1" applyFont="1" applyBorder="1"/>
    <xf numFmtId="164" fontId="0" fillId="0" borderId="0" xfId="1" applyNumberFormat="1" applyFont="1" applyBorder="1"/>
    <xf numFmtId="164" fontId="0" fillId="0" borderId="7" xfId="1" applyNumberFormat="1" applyFont="1" applyBorder="1"/>
    <xf numFmtId="164" fontId="0" fillId="0" borderId="8" xfId="1" applyNumberFormat="1" applyFont="1" applyBorder="1"/>
    <xf numFmtId="164" fontId="0" fillId="0" borderId="9" xfId="1" applyNumberFormat="1" applyFont="1" applyBorder="1"/>
    <xf numFmtId="164" fontId="0" fillId="0" borderId="1" xfId="1" applyNumberFormat="1" applyFont="1" applyBorder="1"/>
    <xf numFmtId="0" fontId="9" fillId="0" borderId="0" xfId="0" applyFont="1" applyBorder="1" applyAlignment="1">
      <alignment horizontal="center" vertical="center"/>
    </xf>
    <xf numFmtId="0" fontId="9" fillId="0" borderId="0" xfId="0" applyFont="1" applyBorder="1" applyAlignment="1">
      <alignment horizontal="center"/>
    </xf>
    <xf numFmtId="0" fontId="10" fillId="0" borderId="0" xfId="0" applyFont="1"/>
    <xf numFmtId="164" fontId="10" fillId="0" borderId="10" xfId="1" applyNumberFormat="1" applyFont="1" applyBorder="1"/>
    <xf numFmtId="164" fontId="10" fillId="0" borderId="11" xfId="1" applyNumberFormat="1" applyFont="1" applyBorder="1"/>
    <xf numFmtId="0" fontId="10" fillId="0" borderId="2" xfId="0" applyFont="1" applyBorder="1"/>
    <xf numFmtId="164" fontId="0" fillId="0" borderId="10" xfId="1" applyNumberFormat="1" applyFont="1" applyBorder="1"/>
    <xf numFmtId="164" fontId="0" fillId="0" borderId="11" xfId="1" applyNumberFormat="1" applyFont="1" applyBorder="1"/>
    <xf numFmtId="164" fontId="0" fillId="0" borderId="2" xfId="1" applyNumberFormat="1" applyFont="1" applyBorder="1"/>
    <xf numFmtId="0" fontId="0" fillId="0" borderId="2" xfId="0" applyFont="1" applyBorder="1"/>
    <xf numFmtId="43" fontId="9" fillId="2" borderId="10" xfId="1" applyFont="1" applyFill="1" applyBorder="1" applyAlignment="1">
      <alignment horizontal="center"/>
    </xf>
    <xf numFmtId="165" fontId="9" fillId="2" borderId="10" xfId="1" applyNumberFormat="1" applyFont="1" applyFill="1" applyBorder="1" applyAlignment="1">
      <alignment horizontal="center"/>
    </xf>
    <xf numFmtId="0" fontId="0" fillId="0" borderId="2" xfId="0" applyBorder="1" applyAlignment="1">
      <alignment vertical="top" wrapText="1"/>
    </xf>
    <xf numFmtId="0" fontId="9" fillId="0" borderId="0" xfId="0" applyFont="1"/>
    <xf numFmtId="0" fontId="11" fillId="0" borderId="0" xfId="0" applyFont="1"/>
    <xf numFmtId="164" fontId="0" fillId="0" borderId="15" xfId="1" applyNumberFormat="1" applyFont="1" applyBorder="1"/>
    <xf numFmtId="164" fontId="0" fillId="0" borderId="16" xfId="1" applyNumberFormat="1" applyFont="1" applyBorder="1"/>
    <xf numFmtId="0" fontId="0" fillId="0" borderId="10" xfId="0" applyFont="1" applyBorder="1"/>
    <xf numFmtId="0" fontId="0" fillId="0" borderId="11" xfId="0" applyFont="1" applyBorder="1"/>
    <xf numFmtId="0" fontId="0" fillId="0" borderId="17" xfId="0" applyBorder="1"/>
    <xf numFmtId="0" fontId="10" fillId="0" borderId="10" xfId="0" applyFont="1" applyBorder="1"/>
    <xf numFmtId="0" fontId="10" fillId="0" borderId="11" xfId="0" applyFont="1" applyBorder="1"/>
    <xf numFmtId="0" fontId="0" fillId="0" borderId="11" xfId="0" applyFont="1" applyBorder="1" applyAlignment="1">
      <alignment wrapText="1"/>
    </xf>
    <xf numFmtId="164" fontId="0" fillId="0" borderId="4" xfId="1" applyNumberFormat="1" applyFont="1" applyBorder="1"/>
    <xf numFmtId="164" fontId="8" fillId="0" borderId="10" xfId="1" applyNumberFormat="1" applyFont="1" applyBorder="1"/>
    <xf numFmtId="164" fontId="8" fillId="0" borderId="0" xfId="1" applyNumberFormat="1" applyFont="1"/>
    <xf numFmtId="0" fontId="0" fillId="0" borderId="0" xfId="0" applyFont="1"/>
    <xf numFmtId="164" fontId="0" fillId="0" borderId="17" xfId="1" applyNumberFormat="1" applyFont="1" applyBorder="1" applyAlignment="1">
      <alignment vertical="center"/>
    </xf>
    <xf numFmtId="164" fontId="0" fillId="0" borderId="15" xfId="1" applyNumberFormat="1" applyFont="1" applyBorder="1" applyAlignment="1">
      <alignment vertical="center"/>
    </xf>
    <xf numFmtId="164" fontId="0" fillId="0" borderId="1" xfId="1" applyNumberFormat="1" applyFont="1" applyBorder="1" applyAlignment="1">
      <alignment vertical="center"/>
    </xf>
    <xf numFmtId="164" fontId="0" fillId="0" borderId="10" xfId="1" applyNumberFormat="1" applyFont="1" applyBorder="1" applyAlignment="1">
      <alignment horizontal="center" vertical="center"/>
    </xf>
    <xf numFmtId="0" fontId="0" fillId="0" borderId="10" xfId="0" applyBorder="1"/>
    <xf numFmtId="164" fontId="9" fillId="0" borderId="0" xfId="1" applyNumberFormat="1" applyFont="1"/>
    <xf numFmtId="0" fontId="0" fillId="0" borderId="10" xfId="0" applyBorder="1" applyAlignment="1">
      <alignment horizontal="center"/>
    </xf>
    <xf numFmtId="43" fontId="0" fillId="0" borderId="0" xfId="1" applyFont="1"/>
    <xf numFmtId="164" fontId="0" fillId="0" borderId="0" xfId="0" applyNumberFormat="1"/>
    <xf numFmtId="0" fontId="0" fillId="0" borderId="0" xfId="0" applyAlignment="1">
      <alignment horizontal="right"/>
    </xf>
    <xf numFmtId="164" fontId="0" fillId="0" borderId="0" xfId="1" applyNumberFormat="1" applyFont="1" applyAlignment="1">
      <alignment horizontal="left" indent="1"/>
    </xf>
    <xf numFmtId="164" fontId="0" fillId="0" borderId="17" xfId="1" applyNumberFormat="1" applyFont="1" applyBorder="1"/>
    <xf numFmtId="0" fontId="0" fillId="0" borderId="10" xfId="0" applyBorder="1" applyAlignment="1">
      <alignment vertical="top" wrapText="1"/>
    </xf>
    <xf numFmtId="165" fontId="12" fillId="0" borderId="0" xfId="1" applyNumberFormat="1" applyFont="1" applyAlignment="1">
      <alignment horizontal="center"/>
    </xf>
    <xf numFmtId="164" fontId="0" fillId="0" borderId="0" xfId="1" applyNumberFormat="1" applyFont="1" applyAlignment="1">
      <alignment horizontal="center"/>
    </xf>
    <xf numFmtId="43" fontId="0" fillId="0" borderId="0" xfId="1" applyFont="1" applyFill="1" applyAlignment="1">
      <alignment horizontal="left" indent="2"/>
    </xf>
    <xf numFmtId="43" fontId="0" fillId="0" borderId="0" xfId="0" applyNumberFormat="1"/>
    <xf numFmtId="0" fontId="0" fillId="0" borderId="10" xfId="0" applyFont="1" applyBorder="1" applyAlignment="1">
      <alignment horizontal="center"/>
    </xf>
    <xf numFmtId="164" fontId="12" fillId="0" borderId="0" xfId="1" applyNumberFormat="1" applyFont="1"/>
    <xf numFmtId="166" fontId="14" fillId="0" borderId="0" xfId="2" applyNumberFormat="1" applyFont="1"/>
    <xf numFmtId="166" fontId="0" fillId="0" borderId="0" xfId="2" applyNumberFormat="1" applyFont="1"/>
    <xf numFmtId="166" fontId="8" fillId="0" borderId="0" xfId="2" applyNumberFormat="1" applyFont="1"/>
    <xf numFmtId="0" fontId="0" fillId="0" borderId="10" xfId="0" applyFont="1" applyBorder="1" applyAlignment="1">
      <alignment vertical="center" wrapText="1"/>
    </xf>
    <xf numFmtId="164" fontId="0" fillId="0" borderId="10" xfId="1" applyNumberFormat="1" applyFont="1" applyBorder="1" applyAlignment="1">
      <alignment vertical="center"/>
    </xf>
    <xf numFmtId="164" fontId="0" fillId="0" borderId="10" xfId="1" applyNumberFormat="1" applyFont="1" applyBorder="1" applyAlignment="1">
      <alignment horizontal="center"/>
    </xf>
    <xf numFmtId="164" fontId="14" fillId="0" borderId="0" xfId="1" applyNumberFormat="1" applyFont="1"/>
    <xf numFmtId="164" fontId="14" fillId="0" borderId="0" xfId="1" applyNumberFormat="1" applyFont="1" applyFill="1"/>
    <xf numFmtId="0" fontId="0" fillId="0" borderId="0" xfId="0" applyAlignment="1">
      <alignment horizontal="left" indent="1"/>
    </xf>
    <xf numFmtId="164" fontId="12" fillId="0" borderId="0" xfId="0" applyNumberFormat="1" applyFont="1"/>
    <xf numFmtId="164" fontId="14" fillId="0" borderId="0" xfId="0" applyNumberFormat="1" applyFont="1" applyBorder="1"/>
    <xf numFmtId="167" fontId="12" fillId="0" borderId="0" xfId="1" applyNumberFormat="1" applyFont="1" applyAlignment="1">
      <alignment horizontal="center"/>
    </xf>
    <xf numFmtId="0" fontId="0" fillId="0" borderId="2" xfId="0" applyFont="1" applyBorder="1" applyAlignment="1">
      <alignment horizontal="center" wrapText="1"/>
    </xf>
    <xf numFmtId="164" fontId="0" fillId="0" borderId="0" xfId="1" applyNumberFormat="1" applyFont="1" applyFill="1"/>
    <xf numFmtId="164" fontId="12" fillId="0" borderId="0" xfId="1" applyNumberFormat="1" applyFont="1" applyFill="1"/>
    <xf numFmtId="43" fontId="0" fillId="0" borderId="13" xfId="1" applyFont="1" applyBorder="1"/>
    <xf numFmtId="43" fontId="9" fillId="0" borderId="0" xfId="1" applyFont="1" applyBorder="1" applyAlignment="1">
      <alignment horizontal="center"/>
    </xf>
    <xf numFmtId="43" fontId="0" fillId="0" borderId="9" xfId="1" applyFont="1" applyBorder="1"/>
    <xf numFmtId="43" fontId="0" fillId="0" borderId="5" xfId="1" applyFont="1" applyBorder="1" applyAlignment="1">
      <alignment horizontal="left" indent="1"/>
    </xf>
    <xf numFmtId="43" fontId="0" fillId="0" borderId="0" xfId="1" applyFont="1" applyAlignment="1">
      <alignment horizontal="right"/>
    </xf>
    <xf numFmtId="43" fontId="0" fillId="0" borderId="10" xfId="1" applyFont="1" applyBorder="1"/>
    <xf numFmtId="43" fontId="0" fillId="0" borderId="11" xfId="1" applyFont="1" applyBorder="1"/>
    <xf numFmtId="0" fontId="0" fillId="0" borderId="0" xfId="0" applyAlignment="1">
      <alignment horizontal="left" indent="2"/>
    </xf>
    <xf numFmtId="164" fontId="0" fillId="0" borderId="0" xfId="1" applyNumberFormat="1" applyFont="1" applyAlignment="1">
      <alignment horizontal="left" indent="2"/>
    </xf>
    <xf numFmtId="165" fontId="8" fillId="0" borderId="0" xfId="1" applyNumberFormat="1" applyFont="1" applyBorder="1" applyAlignment="1"/>
    <xf numFmtId="43" fontId="0" fillId="0" borderId="0" xfId="1" applyFont="1" applyAlignment="1">
      <alignment horizontal="left" indent="1"/>
    </xf>
    <xf numFmtId="43" fontId="0" fillId="0" borderId="0" xfId="1" applyFont="1" applyAlignment="1">
      <alignment horizontal="left" indent="2"/>
    </xf>
    <xf numFmtId="43" fontId="0" fillId="0" borderId="0" xfId="1" applyFont="1" applyAlignment="1">
      <alignment horizontal="left" indent="3"/>
    </xf>
    <xf numFmtId="164" fontId="8" fillId="0" borderId="0" xfId="1" applyNumberFormat="1" applyFont="1" applyBorder="1"/>
    <xf numFmtId="0" fontId="18" fillId="0" borderId="0" xfId="0" applyFont="1" applyAlignment="1">
      <alignment horizontal="center" vertical="center"/>
    </xf>
    <xf numFmtId="0" fontId="19" fillId="0" borderId="0" xfId="0" applyFont="1"/>
    <xf numFmtId="164" fontId="0" fillId="0" borderId="11" xfId="1" applyNumberFormat="1" applyFont="1" applyBorder="1" applyAlignment="1">
      <alignment vertical="center"/>
    </xf>
    <xf numFmtId="0" fontId="10" fillId="0" borderId="0" xfId="0" applyFont="1" applyAlignment="1">
      <alignment vertical="center"/>
    </xf>
    <xf numFmtId="0" fontId="0" fillId="4" borderId="0" xfId="0" applyFill="1"/>
    <xf numFmtId="10" fontId="0" fillId="0" borderId="0" xfId="3" applyNumberFormat="1" applyFont="1"/>
    <xf numFmtId="0" fontId="0" fillId="0" borderId="0" xfId="0" applyAlignment="1">
      <alignment horizontal="center"/>
    </xf>
    <xf numFmtId="164" fontId="14" fillId="0" borderId="0" xfId="0" applyNumberFormat="1" applyFont="1"/>
    <xf numFmtId="0" fontId="0" fillId="0" borderId="0" xfId="0" applyAlignment="1">
      <alignment horizontal="left" indent="8"/>
    </xf>
    <xf numFmtId="0" fontId="0" fillId="0" borderId="0" xfId="0" applyAlignment="1">
      <alignment horizontal="left" indent="9"/>
    </xf>
    <xf numFmtId="43" fontId="0" fillId="0" borderId="10" xfId="1" applyFont="1" applyBorder="1" applyAlignment="1">
      <alignment vertical="center" wrapText="1"/>
    </xf>
    <xf numFmtId="0" fontId="13" fillId="0" borderId="10" xfId="0" applyFont="1" applyBorder="1" applyAlignment="1">
      <alignment vertical="center" wrapText="1"/>
    </xf>
    <xf numFmtId="9" fontId="0" fillId="0" borderId="0" xfId="3" applyFont="1"/>
    <xf numFmtId="0" fontId="0" fillId="0" borderId="0" xfId="0" applyFont="1" applyAlignment="1">
      <alignment horizontal="left" indent="1"/>
    </xf>
    <xf numFmtId="0" fontId="0" fillId="0" borderId="10" xfId="0" applyBorder="1"/>
    <xf numFmtId="0" fontId="0" fillId="0" borderId="2" xfId="0" applyBorder="1" applyAlignment="1">
      <alignment wrapText="1"/>
    </xf>
    <xf numFmtId="0" fontId="0" fillId="0" borderId="0" xfId="0"/>
    <xf numFmtId="43" fontId="0" fillId="0" borderId="0" xfId="1" applyFont="1"/>
    <xf numFmtId="43" fontId="12" fillId="0" borderId="0" xfId="1" applyFont="1" applyAlignment="1">
      <alignment horizontal="center"/>
    </xf>
    <xf numFmtId="0" fontId="0" fillId="0" borderId="2" xfId="0" applyBorder="1"/>
    <xf numFmtId="0" fontId="10" fillId="0" borderId="0" xfId="0" applyFont="1"/>
    <xf numFmtId="0" fontId="9" fillId="0" borderId="0" xfId="0" applyFont="1" applyBorder="1" applyAlignment="1">
      <alignment horizontal="center"/>
    </xf>
    <xf numFmtId="0" fontId="9" fillId="0" borderId="0" xfId="0" applyFont="1" applyBorder="1" applyAlignment="1">
      <alignment horizontal="center" vertical="center"/>
    </xf>
    <xf numFmtId="0" fontId="0" fillId="0" borderId="0" xfId="0" applyFill="1"/>
    <xf numFmtId="0" fontId="0" fillId="0" borderId="10" xfId="0" applyFont="1" applyBorder="1" applyAlignment="1">
      <alignment vertical="center"/>
    </xf>
    <xf numFmtId="164" fontId="0" fillId="0" borderId="17" xfId="0" applyNumberFormat="1" applyBorder="1"/>
    <xf numFmtId="0" fontId="0" fillId="0" borderId="11" xfId="0" applyFont="1" applyFill="1" applyBorder="1" applyAlignment="1">
      <alignment horizontal="left" wrapText="1" indent="1"/>
    </xf>
    <xf numFmtId="164" fontId="0" fillId="0" borderId="10" xfId="0" applyNumberFormat="1" applyBorder="1"/>
    <xf numFmtId="0" fontId="0" fillId="0" borderId="9" xfId="0" applyBorder="1"/>
    <xf numFmtId="164" fontId="0" fillId="0" borderId="7" xfId="0" applyNumberFormat="1" applyBorder="1"/>
    <xf numFmtId="0" fontId="0" fillId="0" borderId="5" xfId="0" applyBorder="1"/>
    <xf numFmtId="10" fontId="0" fillId="0" borderId="6" xfId="0" applyNumberFormat="1" applyBorder="1"/>
    <xf numFmtId="0" fontId="0" fillId="0" borderId="6" xfId="0" applyBorder="1"/>
    <xf numFmtId="0" fontId="0" fillId="0" borderId="3" xfId="0" applyBorder="1"/>
    <xf numFmtId="0" fontId="0" fillId="0" borderId="0" xfId="0" applyAlignment="1">
      <alignment horizontal="left" indent="5"/>
    </xf>
    <xf numFmtId="0" fontId="0" fillId="0" borderId="10" xfId="0" applyFont="1" applyBorder="1" applyAlignment="1">
      <alignment horizontal="center" vertical="center" wrapText="1"/>
    </xf>
    <xf numFmtId="43" fontId="0" fillId="0" borderId="5" xfId="1" applyFont="1" applyFill="1" applyBorder="1" applyAlignment="1">
      <alignment horizontal="left" indent="1"/>
    </xf>
    <xf numFmtId="164" fontId="0" fillId="0" borderId="0" xfId="1" applyNumberFormat="1" applyFont="1" applyFill="1" applyBorder="1"/>
    <xf numFmtId="43" fontId="0" fillId="0" borderId="3" xfId="1" applyFont="1" applyFill="1" applyBorder="1" applyAlignment="1">
      <alignment horizontal="left" indent="1"/>
    </xf>
    <xf numFmtId="164" fontId="0" fillId="0" borderId="2" xfId="1" applyNumberFormat="1" applyFont="1" applyFill="1" applyBorder="1"/>
    <xf numFmtId="0" fontId="21" fillId="0" borderId="0" xfId="0" applyFont="1" applyAlignment="1">
      <alignment horizontal="center" vertical="center"/>
    </xf>
    <xf numFmtId="0" fontId="22" fillId="0" borderId="0" xfId="0" applyFont="1" applyAlignment="1">
      <alignment horizontal="center" vertical="center"/>
    </xf>
    <xf numFmtId="0" fontId="0" fillId="0" borderId="2" xfId="0" applyBorder="1" applyAlignment="1">
      <alignment vertical="top"/>
    </xf>
    <xf numFmtId="0" fontId="0" fillId="0" borderId="10" xfId="0" applyFont="1" applyFill="1" applyBorder="1" applyAlignment="1">
      <alignment horizontal="left" vertical="center" wrapText="1"/>
    </xf>
    <xf numFmtId="164" fontId="0" fillId="0" borderId="11" xfId="1" applyNumberFormat="1" applyFont="1" applyFill="1" applyBorder="1"/>
    <xf numFmtId="0" fontId="0" fillId="0" borderId="10" xfId="0" applyFont="1" applyFill="1" applyBorder="1" applyAlignment="1">
      <alignment vertical="center" wrapText="1"/>
    </xf>
    <xf numFmtId="164" fontId="0" fillId="0" borderId="11" xfId="1" applyNumberFormat="1" applyFont="1" applyFill="1" applyBorder="1" applyAlignment="1">
      <alignment horizontal="center"/>
    </xf>
    <xf numFmtId="0" fontId="0" fillId="5" borderId="0" xfId="0" applyFill="1"/>
    <xf numFmtId="164" fontId="0" fillId="5" borderId="0" xfId="1" applyNumberFormat="1" applyFont="1" applyFill="1"/>
    <xf numFmtId="164" fontId="12" fillId="5" borderId="0" xfId="1" applyNumberFormat="1" applyFont="1" applyFill="1"/>
    <xf numFmtId="0" fontId="0" fillId="2" borderId="0" xfId="0" applyFill="1"/>
    <xf numFmtId="164" fontId="17" fillId="0" borderId="0" xfId="1" applyNumberFormat="1" applyFont="1" applyFill="1" applyBorder="1" applyProtection="1"/>
    <xf numFmtId="164" fontId="17" fillId="0" borderId="0" xfId="1" applyNumberFormat="1" applyFont="1" applyFill="1" applyBorder="1" applyProtection="1">
      <protection locked="0"/>
    </xf>
    <xf numFmtId="164" fontId="0" fillId="0" borderId="0" xfId="0" applyNumberFormat="1" applyBorder="1"/>
    <xf numFmtId="43" fontId="22" fillId="0" borderId="0" xfId="1" applyFont="1" applyAlignment="1">
      <alignment horizontal="center" vertical="center"/>
    </xf>
    <xf numFmtId="0" fontId="5" fillId="0" borderId="0" xfId="0" applyFont="1" applyAlignment="1">
      <alignment horizontal="left" vertical="center"/>
    </xf>
    <xf numFmtId="0" fontId="4" fillId="0" borderId="0" xfId="0" applyFont="1" applyAlignment="1">
      <alignment horizontal="left" vertical="center"/>
    </xf>
    <xf numFmtId="164" fontId="0" fillId="2" borderId="0" xfId="0" applyNumberFormat="1" applyFill="1"/>
    <xf numFmtId="164" fontId="12" fillId="2" borderId="0" xfId="0" applyNumberFormat="1" applyFont="1" applyFill="1"/>
    <xf numFmtId="164" fontId="12" fillId="0" borderId="0" xfId="1" applyNumberFormat="1" applyFont="1"/>
    <xf numFmtId="0" fontId="0" fillId="0" borderId="11" xfId="0" applyFont="1" applyFill="1" applyBorder="1" applyAlignment="1">
      <alignment horizontal="left" vertical="center" wrapText="1" indent="1"/>
    </xf>
    <xf numFmtId="0" fontId="0" fillId="0" borderId="10" xfId="0" applyFont="1" applyFill="1" applyBorder="1" applyAlignment="1">
      <alignment vertical="center" wrapText="1"/>
    </xf>
    <xf numFmtId="0" fontId="10" fillId="0" borderId="0" xfId="0" applyFont="1"/>
    <xf numFmtId="164" fontId="0" fillId="0" borderId="10" xfId="1" applyNumberFormat="1" applyFont="1" applyFill="1" applyBorder="1"/>
    <xf numFmtId="0" fontId="0" fillId="0" borderId="0" xfId="0"/>
    <xf numFmtId="0" fontId="10" fillId="0" borderId="0" xfId="0" applyFont="1"/>
    <xf numFmtId="164" fontId="0" fillId="0" borderId="10" xfId="1" applyNumberFormat="1" applyFont="1" applyBorder="1"/>
    <xf numFmtId="164" fontId="0" fillId="0" borderId="0" xfId="1" applyNumberFormat="1" applyFont="1"/>
    <xf numFmtId="0" fontId="10" fillId="0" borderId="10" xfId="0" applyFont="1" applyBorder="1"/>
    <xf numFmtId="0" fontId="10" fillId="0" borderId="0" xfId="0" applyFont="1"/>
    <xf numFmtId="164" fontId="0" fillId="0" borderId="10" xfId="1" applyNumberFormat="1" applyFont="1" applyBorder="1"/>
    <xf numFmtId="164" fontId="0" fillId="0" borderId="0" xfId="1" applyNumberFormat="1" applyFont="1"/>
    <xf numFmtId="0" fontId="0" fillId="0" borderId="10" xfId="0" applyFont="1" applyFill="1" applyBorder="1" applyAlignment="1">
      <alignment vertical="center" wrapText="1"/>
    </xf>
    <xf numFmtId="164" fontId="0" fillId="0" borderId="11" xfId="1" applyNumberFormat="1" applyFont="1" applyBorder="1"/>
    <xf numFmtId="164" fontId="0" fillId="0" borderId="0" xfId="1" applyNumberFormat="1" applyFont="1"/>
    <xf numFmtId="0" fontId="13" fillId="0" borderId="11" xfId="0" applyFont="1" applyFill="1" applyBorder="1" applyAlignment="1">
      <alignment horizontal="left" wrapText="1" indent="1"/>
    </xf>
    <xf numFmtId="0" fontId="0" fillId="0" borderId="0" xfId="0"/>
    <xf numFmtId="0" fontId="10" fillId="0" borderId="10" xfId="0" applyFont="1" applyBorder="1"/>
    <xf numFmtId="0" fontId="10" fillId="0" borderId="0" xfId="0" applyFont="1"/>
    <xf numFmtId="164" fontId="0" fillId="0" borderId="11" xfId="1" applyNumberFormat="1" applyFont="1" applyBorder="1"/>
    <xf numFmtId="164" fontId="0" fillId="0" borderId="10" xfId="1" applyNumberFormat="1" applyFont="1" applyBorder="1"/>
    <xf numFmtId="164" fontId="0" fillId="0" borderId="11" xfId="1" applyNumberFormat="1" applyFont="1" applyBorder="1"/>
    <xf numFmtId="0" fontId="0" fillId="0" borderId="10" xfId="0" applyBorder="1" applyAlignment="1">
      <alignment vertical="center" wrapText="1"/>
    </xf>
    <xf numFmtId="0" fontId="0" fillId="0" borderId="0" xfId="0"/>
    <xf numFmtId="0" fontId="0" fillId="0" borderId="10" xfId="0" applyFont="1" applyFill="1" applyBorder="1" applyAlignment="1">
      <alignment vertical="center" wrapText="1"/>
    </xf>
    <xf numFmtId="164" fontId="12" fillId="0" borderId="0" xfId="1" applyNumberFormat="1" applyFont="1"/>
    <xf numFmtId="0" fontId="0" fillId="0" borderId="0" xfId="0"/>
    <xf numFmtId="0" fontId="0" fillId="0" borderId="10" xfId="0" applyFont="1" applyFill="1" applyBorder="1" applyAlignment="1">
      <alignment vertical="center" wrapText="1"/>
    </xf>
    <xf numFmtId="0" fontId="0" fillId="0" borderId="10" xfId="0" applyBorder="1"/>
    <xf numFmtId="0" fontId="0" fillId="0" borderId="2" xfId="0" applyBorder="1"/>
    <xf numFmtId="0" fontId="0" fillId="0" borderId="0" xfId="0"/>
    <xf numFmtId="0" fontId="10" fillId="0" borderId="10" xfId="0" applyFont="1" applyBorder="1"/>
    <xf numFmtId="0" fontId="10" fillId="0" borderId="0" xfId="0" applyFont="1"/>
    <xf numFmtId="164" fontId="0" fillId="0" borderId="10" xfId="1" applyNumberFormat="1" applyFont="1" applyBorder="1"/>
    <xf numFmtId="164" fontId="0" fillId="0" borderId="0" xfId="1" applyNumberFormat="1" applyFont="1"/>
    <xf numFmtId="0" fontId="0" fillId="0" borderId="11" xfId="0" applyFont="1" applyFill="1" applyBorder="1" applyAlignment="1">
      <alignment wrapText="1"/>
    </xf>
    <xf numFmtId="0" fontId="0" fillId="0" borderId="10" xfId="0" applyFont="1" applyFill="1" applyBorder="1" applyAlignment="1">
      <alignment vertical="center" wrapText="1"/>
    </xf>
    <xf numFmtId="164" fontId="0" fillId="0" borderId="11" xfId="1" applyNumberFormat="1" applyFont="1" applyFill="1" applyBorder="1" applyAlignment="1">
      <alignment horizontal="center"/>
    </xf>
    <xf numFmtId="0" fontId="10" fillId="0" borderId="2" xfId="0" applyFont="1" applyBorder="1"/>
    <xf numFmtId="0" fontId="10" fillId="0" borderId="11" xfId="0" applyFont="1" applyBorder="1"/>
    <xf numFmtId="0" fontId="10" fillId="0" borderId="10" xfId="0" applyFont="1" applyBorder="1"/>
    <xf numFmtId="164" fontId="0" fillId="0" borderId="11" xfId="1" applyNumberFormat="1" applyFont="1" applyFill="1" applyBorder="1"/>
    <xf numFmtId="164" fontId="0" fillId="0" borderId="11" xfId="1" applyNumberFormat="1" applyFont="1" applyBorder="1"/>
    <xf numFmtId="0" fontId="0" fillId="0" borderId="8" xfId="0" applyBorder="1"/>
    <xf numFmtId="0" fontId="0" fillId="0" borderId="10" xfId="0" applyFont="1" applyFill="1" applyBorder="1" applyAlignment="1">
      <alignment vertical="center" wrapText="1"/>
    </xf>
    <xf numFmtId="164" fontId="0" fillId="0" borderId="11" xfId="1" applyNumberFormat="1" applyFont="1" applyFill="1" applyBorder="1" applyAlignment="1">
      <alignment horizontal="center"/>
    </xf>
    <xf numFmtId="164" fontId="0" fillId="0" borderId="1" xfId="0" applyNumberFormat="1" applyBorder="1"/>
    <xf numFmtId="164" fontId="12" fillId="0" borderId="0" xfId="1" applyNumberFormat="1" applyFont="1"/>
    <xf numFmtId="164" fontId="0" fillId="2" borderId="0" xfId="0" applyNumberFormat="1" applyFont="1" applyFill="1"/>
    <xf numFmtId="165" fontId="0" fillId="0" borderId="0" xfId="1" applyNumberFormat="1" applyFont="1" applyAlignment="1">
      <alignment horizontal="center"/>
    </xf>
    <xf numFmtId="10" fontId="0" fillId="0" borderId="0" xfId="3" applyNumberFormat="1" applyFont="1" applyAlignment="1">
      <alignment horizontal="center"/>
    </xf>
    <xf numFmtId="164" fontId="25" fillId="0" borderId="0" xfId="1" applyNumberFormat="1" applyFont="1"/>
    <xf numFmtId="0" fontId="0" fillId="0" borderId="0" xfId="0" applyAlignment="1">
      <alignment horizontal="left"/>
    </xf>
    <xf numFmtId="164" fontId="0" fillId="0" borderId="11" xfId="1" applyNumberFormat="1" applyFont="1" applyFill="1" applyBorder="1" applyAlignment="1">
      <alignment horizontal="center" vertical="center"/>
    </xf>
    <xf numFmtId="0" fontId="10" fillId="0" borderId="10" xfId="0" applyFont="1" applyBorder="1" applyAlignment="1">
      <alignment vertical="center"/>
    </xf>
    <xf numFmtId="0" fontId="10" fillId="0" borderId="2" xfId="0" applyFont="1" applyBorder="1" applyAlignment="1">
      <alignment vertical="center"/>
    </xf>
    <xf numFmtId="164" fontId="0" fillId="0" borderId="11" xfId="1" applyNumberFormat="1" applyFont="1" applyFill="1" applyBorder="1" applyAlignment="1">
      <alignment vertical="center"/>
    </xf>
    <xf numFmtId="165" fontId="16" fillId="0" borderId="0" xfId="1" applyNumberFormat="1" applyFont="1" applyBorder="1" applyAlignment="1">
      <alignment horizontal="center"/>
    </xf>
    <xf numFmtId="165" fontId="16" fillId="0" borderId="6" xfId="1" applyNumberFormat="1" applyFont="1" applyBorder="1" applyAlignment="1">
      <alignment horizontal="center"/>
    </xf>
    <xf numFmtId="0" fontId="0" fillId="0" borderId="7" xfId="0" applyFont="1" applyBorder="1"/>
    <xf numFmtId="0" fontId="0" fillId="0" borderId="9" xfId="0" applyFont="1" applyBorder="1"/>
    <xf numFmtId="164" fontId="8" fillId="0" borderId="6" xfId="1" applyNumberFormat="1" applyFont="1" applyBorder="1"/>
    <xf numFmtId="0" fontId="10" fillId="0" borderId="7" xfId="0" applyFont="1" applyBorder="1"/>
    <xf numFmtId="164" fontId="0" fillId="0" borderId="18" xfId="0" applyNumberFormat="1" applyBorder="1"/>
    <xf numFmtId="164" fontId="12" fillId="0" borderId="0" xfId="1" applyNumberFormat="1" applyFont="1" applyBorder="1"/>
    <xf numFmtId="0" fontId="0" fillId="0" borderId="0" xfId="0" applyBorder="1" applyAlignment="1">
      <alignment horizontal="left" indent="1"/>
    </xf>
    <xf numFmtId="164" fontId="14" fillId="0" borderId="0" xfId="1" applyNumberFormat="1" applyFont="1" applyBorder="1"/>
    <xf numFmtId="0" fontId="0" fillId="0" borderId="0" xfId="0" applyFill="1" applyAlignment="1">
      <alignment horizontal="left" indent="4"/>
    </xf>
    <xf numFmtId="164" fontId="0" fillId="0" borderId="0" xfId="1" applyNumberFormat="1" applyFont="1" applyFill="1" applyAlignment="1">
      <alignment horizontal="left" indent="4"/>
    </xf>
    <xf numFmtId="0" fontId="0" fillId="0" borderId="0" xfId="0" applyFill="1" applyAlignment="1">
      <alignment horizontal="left" indent="1"/>
    </xf>
    <xf numFmtId="0" fontId="0" fillId="0" borderId="0" xfId="0" applyFill="1" applyAlignment="1">
      <alignment horizontal="left" indent="3"/>
    </xf>
    <xf numFmtId="164" fontId="8" fillId="0" borderId="0" xfId="1" applyNumberFormat="1" applyFont="1" applyFill="1"/>
    <xf numFmtId="0" fontId="0" fillId="0" borderId="0" xfId="0" applyFill="1" applyAlignment="1">
      <alignment horizontal="left" indent="5"/>
    </xf>
    <xf numFmtId="43" fontId="26" fillId="0" borderId="0" xfId="1" applyFont="1"/>
    <xf numFmtId="0" fontId="0" fillId="0" borderId="2" xfId="0" applyFont="1" applyBorder="1" applyAlignment="1">
      <alignment horizontal="left" indent="1"/>
    </xf>
    <xf numFmtId="164" fontId="0" fillId="0" borderId="11" xfId="1" applyNumberFormat="1" applyFont="1" applyFill="1" applyBorder="1" applyAlignment="1">
      <alignment horizontal="center" vertical="center" wrapText="1"/>
    </xf>
    <xf numFmtId="0" fontId="0" fillId="0" borderId="0" xfId="0" applyAlignment="1">
      <alignment vertical="center"/>
    </xf>
    <xf numFmtId="43" fontId="0" fillId="0" borderId="5" xfId="1" applyFont="1" applyBorder="1"/>
    <xf numFmtId="0" fontId="0" fillId="0" borderId="0" xfId="0" applyFont="1" applyBorder="1"/>
    <xf numFmtId="9" fontId="29" fillId="0" borderId="6" xfId="3" applyFont="1" applyBorder="1"/>
    <xf numFmtId="43" fontId="0" fillId="0" borderId="3" xfId="1" applyFont="1" applyBorder="1"/>
    <xf numFmtId="9" fontId="29" fillId="0" borderId="4" xfId="3" applyFont="1" applyBorder="1"/>
    <xf numFmtId="43" fontId="0" fillId="0" borderId="9" xfId="1" applyFont="1" applyBorder="1" applyAlignment="1">
      <alignment horizontal="left" indent="1"/>
    </xf>
    <xf numFmtId="43" fontId="0" fillId="0" borderId="5" xfId="1" applyFont="1" applyBorder="1" applyAlignment="1">
      <alignment horizontal="left" indent="2"/>
    </xf>
    <xf numFmtId="43" fontId="0" fillId="0" borderId="15" xfId="1" applyFont="1" applyBorder="1"/>
    <xf numFmtId="164" fontId="11" fillId="0" borderId="0" xfId="1" applyNumberFormat="1" applyFont="1" applyAlignment="1">
      <alignment horizontal="center"/>
    </xf>
    <xf numFmtId="10" fontId="0" fillId="0" borderId="0" xfId="0" applyNumberFormat="1"/>
    <xf numFmtId="43" fontId="0" fillId="0" borderId="10" xfId="1" applyFont="1" applyFill="1" applyBorder="1" applyAlignment="1">
      <alignment vertical="center" wrapText="1"/>
    </xf>
    <xf numFmtId="164" fontId="0" fillId="0" borderId="10" xfId="1" applyNumberFormat="1" applyFont="1" applyFill="1" applyBorder="1" applyAlignment="1">
      <alignment vertical="center" wrapText="1"/>
    </xf>
    <xf numFmtId="0" fontId="0" fillId="0" borderId="10" xfId="0" applyFont="1" applyFill="1" applyBorder="1" applyAlignment="1">
      <alignment vertical="center" wrapText="1"/>
    </xf>
    <xf numFmtId="0" fontId="10" fillId="0" borderId="10" xfId="0" applyFont="1" applyBorder="1"/>
    <xf numFmtId="0" fontId="10" fillId="0" borderId="0" xfId="0" applyFont="1"/>
    <xf numFmtId="164" fontId="0" fillId="0" borderId="11" xfId="1" applyNumberFormat="1" applyFont="1" applyBorder="1"/>
    <xf numFmtId="164" fontId="0" fillId="0" borderId="0" xfId="1" applyNumberFormat="1" applyFont="1"/>
    <xf numFmtId="9" fontId="0" fillId="0" borderId="0" xfId="3" applyNumberFormat="1" applyFont="1" applyFill="1" applyAlignment="1">
      <alignment horizontal="left"/>
    </xf>
    <xf numFmtId="43" fontId="14" fillId="0" borderId="0" xfId="1" applyFont="1"/>
    <xf numFmtId="164" fontId="12" fillId="0" borderId="0" xfId="0" applyNumberFormat="1" applyFont="1" applyFill="1"/>
    <xf numFmtId="0" fontId="13" fillId="0" borderId="0" xfId="0" applyFont="1" applyFill="1"/>
    <xf numFmtId="164" fontId="0" fillId="0" borderId="0" xfId="0" applyNumberFormat="1" applyFont="1"/>
    <xf numFmtId="9" fontId="0" fillId="0" borderId="0" xfId="0" applyNumberFormat="1" applyAlignment="1">
      <alignment horizontal="left"/>
    </xf>
    <xf numFmtId="0" fontId="11" fillId="0" borderId="0" xfId="0" applyFont="1" applyAlignment="1">
      <alignment vertical="center"/>
    </xf>
    <xf numFmtId="0" fontId="15" fillId="0" borderId="0" xfId="0" applyFont="1" applyAlignment="1">
      <alignment horizontal="center"/>
    </xf>
    <xf numFmtId="167" fontId="15" fillId="0" borderId="0" xfId="0" applyNumberFormat="1" applyFont="1" applyAlignment="1">
      <alignment horizontal="center"/>
    </xf>
    <xf numFmtId="0" fontId="0" fillId="0" borderId="11" xfId="0" applyBorder="1" applyAlignment="1">
      <alignment horizontal="left" wrapText="1" indent="1"/>
    </xf>
    <xf numFmtId="0" fontId="0" fillId="0" borderId="10" xfId="0" applyFont="1" applyFill="1" applyBorder="1" applyAlignment="1">
      <alignment vertical="center" wrapText="1"/>
    </xf>
    <xf numFmtId="0" fontId="0" fillId="0" borderId="0" xfId="0"/>
    <xf numFmtId="0" fontId="11" fillId="0" borderId="0" xfId="0" applyFont="1"/>
    <xf numFmtId="0" fontId="9" fillId="0" borderId="0" xfId="0" applyFont="1"/>
    <xf numFmtId="43" fontId="9" fillId="2" borderId="10" xfId="1" applyFont="1" applyFill="1" applyBorder="1" applyAlignment="1">
      <alignment horizontal="center"/>
    </xf>
    <xf numFmtId="165" fontId="9" fillId="2" borderId="10" xfId="1" applyNumberFormat="1" applyFont="1" applyFill="1" applyBorder="1" applyAlignment="1">
      <alignment horizontal="center"/>
    </xf>
    <xf numFmtId="0" fontId="0" fillId="0" borderId="10" xfId="0" applyFont="1" applyFill="1" applyBorder="1" applyAlignment="1">
      <alignment vertical="center" wrapText="1"/>
    </xf>
    <xf numFmtId="0" fontId="10" fillId="0" borderId="0" xfId="0" applyFont="1"/>
    <xf numFmtId="164" fontId="0" fillId="0" borderId="10" xfId="1" applyNumberFormat="1" applyFont="1" applyBorder="1"/>
    <xf numFmtId="164" fontId="0" fillId="0" borderId="0" xfId="1" applyNumberFormat="1" applyFont="1"/>
    <xf numFmtId="164" fontId="12" fillId="0" borderId="0" xfId="1" applyNumberFormat="1" applyFont="1"/>
    <xf numFmtId="164" fontId="14" fillId="0" borderId="0" xfId="1" applyNumberFormat="1" applyFont="1"/>
    <xf numFmtId="164" fontId="0" fillId="0" borderId="17" xfId="1" applyNumberFormat="1" applyFont="1" applyBorder="1"/>
    <xf numFmtId="0" fontId="13" fillId="0" borderId="0" xfId="0" applyFont="1"/>
    <xf numFmtId="0" fontId="11" fillId="0" borderId="0" xfId="0" applyFont="1" applyAlignment="1">
      <alignment vertical="center"/>
    </xf>
    <xf numFmtId="0" fontId="9" fillId="0" borderId="0" xfId="0" applyFont="1" applyAlignment="1">
      <alignment vertical="center"/>
    </xf>
    <xf numFmtId="0" fontId="31" fillId="0" borderId="0" xfId="0" applyFont="1" applyAlignment="1">
      <alignment vertical="center"/>
    </xf>
    <xf numFmtId="164" fontId="8" fillId="0" borderId="11" xfId="1" applyNumberFormat="1" applyBorder="1"/>
    <xf numFmtId="164" fontId="8" fillId="0" borderId="10" xfId="1" applyNumberFormat="1" applyBorder="1"/>
    <xf numFmtId="0" fontId="9" fillId="0" borderId="0" xfId="0" applyFont="1" applyAlignment="1">
      <alignment horizontal="center"/>
    </xf>
    <xf numFmtId="0" fontId="9" fillId="0" borderId="0" xfId="0" applyFont="1" applyAlignment="1">
      <alignment horizontal="center" vertical="center"/>
    </xf>
    <xf numFmtId="164" fontId="8" fillId="0" borderId="1" xfId="1" applyNumberFormat="1" applyBorder="1"/>
    <xf numFmtId="164" fontId="0" fillId="0" borderId="14" xfId="0" applyNumberFormat="1" applyBorder="1"/>
    <xf numFmtId="0" fontId="0" fillId="0" borderId="11" xfId="0" applyBorder="1" applyAlignment="1">
      <alignment horizontal="left" vertical="center" wrapText="1" indent="1"/>
    </xf>
    <xf numFmtId="0" fontId="32" fillId="0" borderId="0" xfId="0" applyFont="1" applyAlignment="1">
      <alignment horizontal="center"/>
    </xf>
    <xf numFmtId="0" fontId="8" fillId="0" borderId="11" xfId="14" applyFont="1" applyFill="1" applyBorder="1" applyAlignment="1">
      <alignment horizontal="left" vertical="center" wrapText="1" indent="1"/>
    </xf>
    <xf numFmtId="43" fontId="0" fillId="0" borderId="11" xfId="1" applyFont="1" applyBorder="1" applyAlignment="1">
      <alignment vertical="center" wrapText="1"/>
    </xf>
    <xf numFmtId="0" fontId="0" fillId="0" borderId="0" xfId="0"/>
    <xf numFmtId="0" fontId="11" fillId="0" borderId="0" xfId="0" applyFont="1"/>
    <xf numFmtId="0" fontId="9" fillId="0" borderId="0" xfId="0" applyFont="1"/>
    <xf numFmtId="43" fontId="9" fillId="2" borderId="10" xfId="1" applyFont="1" applyFill="1" applyBorder="1" applyAlignment="1">
      <alignment horizontal="center"/>
    </xf>
    <xf numFmtId="165" fontId="9" fillId="2" borderId="10" xfId="1" applyNumberFormat="1" applyFont="1" applyFill="1" applyBorder="1" applyAlignment="1">
      <alignment horizontal="center"/>
    </xf>
    <xf numFmtId="0" fontId="0" fillId="0" borderId="10" xfId="0" applyFont="1" applyFill="1" applyBorder="1" applyAlignment="1">
      <alignment vertical="center" wrapText="1"/>
    </xf>
    <xf numFmtId="0" fontId="10" fillId="0" borderId="0" xfId="0" applyFont="1"/>
    <xf numFmtId="0" fontId="9" fillId="0" borderId="0" xfId="0" applyFont="1" applyBorder="1" applyAlignment="1">
      <alignment horizontal="center"/>
    </xf>
    <xf numFmtId="0" fontId="9" fillId="0" borderId="0" xfId="0" applyFont="1" applyBorder="1" applyAlignment="1">
      <alignment horizontal="center" vertical="center"/>
    </xf>
    <xf numFmtId="164" fontId="0" fillId="0" borderId="10" xfId="1" applyNumberFormat="1" applyFont="1" applyBorder="1"/>
    <xf numFmtId="164" fontId="0" fillId="0" borderId="0" xfId="1" applyNumberFormat="1" applyFont="1"/>
    <xf numFmtId="164" fontId="12" fillId="0" borderId="0" xfId="1" applyNumberFormat="1" applyFont="1"/>
    <xf numFmtId="164" fontId="14" fillId="0" borderId="0" xfId="1" applyNumberFormat="1" applyFont="1"/>
    <xf numFmtId="164" fontId="8" fillId="0" borderId="11" xfId="1" applyNumberFormat="1" applyFont="1" applyFill="1" applyBorder="1" applyAlignment="1">
      <alignment horizontal="center"/>
    </xf>
    <xf numFmtId="164" fontId="8" fillId="0" borderId="11" xfId="1" applyNumberFormat="1" applyFont="1" applyBorder="1"/>
    <xf numFmtId="164" fontId="8" fillId="0" borderId="10" xfId="1" applyNumberFormat="1" applyFont="1" applyBorder="1"/>
    <xf numFmtId="164" fontId="8" fillId="0" borderId="11" xfId="1" applyNumberFormat="1" applyFont="1" applyFill="1" applyBorder="1"/>
    <xf numFmtId="0" fontId="0" fillId="0" borderId="10" xfId="0" applyFont="1" applyBorder="1"/>
    <xf numFmtId="0" fontId="13" fillId="0" borderId="0" xfId="0" applyFont="1"/>
    <xf numFmtId="0" fontId="0" fillId="0" borderId="0" xfId="0" applyFont="1"/>
    <xf numFmtId="0" fontId="11" fillId="0" borderId="0" xfId="0" applyFont="1" applyAlignment="1">
      <alignment vertical="center"/>
    </xf>
    <xf numFmtId="164" fontId="0" fillId="0" borderId="11" xfId="1" applyNumberFormat="1" applyFont="1" applyBorder="1"/>
    <xf numFmtId="164" fontId="0" fillId="0" borderId="10" xfId="1" applyNumberFormat="1" applyFont="1" applyFill="1" applyBorder="1"/>
    <xf numFmtId="164" fontId="0" fillId="0" borderId="11" xfId="1" applyNumberFormat="1" applyFont="1" applyFill="1" applyBorder="1"/>
    <xf numFmtId="0" fontId="0" fillId="0" borderId="11" xfId="0" applyFont="1" applyFill="1" applyBorder="1" applyAlignment="1">
      <alignment horizontal="left" vertical="center" wrapText="1" indent="1"/>
    </xf>
    <xf numFmtId="164" fontId="0" fillId="0" borderId="11" xfId="1" applyNumberFormat="1" applyFont="1" applyBorder="1" applyAlignment="1">
      <alignment vertical="center"/>
    </xf>
    <xf numFmtId="0" fontId="8" fillId="0" borderId="10" xfId="14" applyFont="1" applyFill="1" applyBorder="1" applyAlignment="1">
      <alignment vertical="center" wrapText="1"/>
    </xf>
    <xf numFmtId="0" fontId="8" fillId="0" borderId="2" xfId="14" applyFont="1" applyBorder="1" applyAlignment="1">
      <alignment horizontal="center" wrapText="1"/>
    </xf>
    <xf numFmtId="0" fontId="8" fillId="0" borderId="11" xfId="0" applyFont="1" applyFill="1" applyBorder="1" applyAlignment="1">
      <alignment horizontal="left" wrapText="1" indent="1"/>
    </xf>
    <xf numFmtId="0" fontId="8" fillId="0" borderId="10" xfId="0" applyFont="1" applyFill="1" applyBorder="1" applyAlignment="1">
      <alignment vertical="center" wrapText="1"/>
    </xf>
    <xf numFmtId="164" fontId="8" fillId="0" borderId="1" xfId="0" applyNumberFormat="1" applyFont="1" applyBorder="1"/>
    <xf numFmtId="0" fontId="8" fillId="0" borderId="0" xfId="0" applyFont="1"/>
    <xf numFmtId="0" fontId="8" fillId="0" borderId="10" xfId="0" applyFont="1" applyBorder="1"/>
    <xf numFmtId="0" fontId="8" fillId="0" borderId="2" xfId="0" applyFont="1" applyBorder="1"/>
    <xf numFmtId="0" fontId="8" fillId="0" borderId="11" xfId="0" applyFont="1" applyBorder="1"/>
    <xf numFmtId="0" fontId="8" fillId="0" borderId="10" xfId="0" applyFont="1" applyBorder="1" applyAlignment="1">
      <alignment horizontal="center"/>
    </xf>
    <xf numFmtId="164" fontId="0" fillId="0" borderId="10" xfId="1" applyNumberFormat="1" applyFont="1" applyBorder="1" applyAlignment="1">
      <alignment vertical="center" wrapText="1"/>
    </xf>
    <xf numFmtId="0" fontId="0" fillId="0" borderId="0" xfId="0" applyFont="1" applyFill="1" applyBorder="1" applyAlignment="1">
      <alignment vertical="center" wrapText="1"/>
    </xf>
    <xf numFmtId="164" fontId="8" fillId="0" borderId="10" xfId="1" applyNumberFormat="1" applyFont="1" applyBorder="1" applyAlignment="1">
      <alignment vertical="center"/>
    </xf>
    <xf numFmtId="0" fontId="0" fillId="0" borderId="11" xfId="0" applyFont="1" applyFill="1" applyBorder="1" applyAlignment="1">
      <alignment horizontal="center" wrapText="1"/>
    </xf>
    <xf numFmtId="0" fontId="11" fillId="0" borderId="0" xfId="0" applyFont="1"/>
    <xf numFmtId="0" fontId="11" fillId="0" borderId="0" xfId="0" applyFont="1" applyAlignment="1">
      <alignment vertical="center"/>
    </xf>
    <xf numFmtId="0" fontId="0" fillId="0" borderId="0" xfId="0"/>
    <xf numFmtId="0" fontId="11" fillId="0" borderId="0" xfId="0" applyFont="1"/>
    <xf numFmtId="0" fontId="9" fillId="0" borderId="0" xfId="0" applyFont="1"/>
    <xf numFmtId="0" fontId="10" fillId="0" borderId="0" xfId="0" applyFont="1"/>
    <xf numFmtId="164" fontId="0" fillId="0" borderId="10" xfId="1" applyNumberFormat="1" applyFont="1" applyBorder="1"/>
    <xf numFmtId="164" fontId="0" fillId="0" borderId="0" xfId="1" applyNumberFormat="1" applyFont="1"/>
    <xf numFmtId="164" fontId="12" fillId="0" borderId="0" xfId="1" applyNumberFormat="1" applyFont="1"/>
    <xf numFmtId="0" fontId="0" fillId="0" borderId="0" xfId="0" applyFont="1"/>
    <xf numFmtId="0" fontId="11" fillId="0" borderId="0" xfId="0" applyFont="1" applyAlignment="1">
      <alignment vertical="center"/>
    </xf>
    <xf numFmtId="164" fontId="8" fillId="0" borderId="11" xfId="1" applyNumberFormat="1" applyBorder="1" applyAlignment="1">
      <alignment horizontal="center" vertical="center"/>
    </xf>
    <xf numFmtId="8" fontId="0" fillId="0" borderId="0" xfId="0" applyNumberFormat="1" applyFont="1"/>
    <xf numFmtId="0" fontId="0" fillId="0" borderId="11" xfId="0" applyBorder="1" applyAlignment="1">
      <alignment vertical="center" wrapText="1"/>
    </xf>
    <xf numFmtId="164" fontId="0" fillId="0" borderId="11" xfId="1" applyNumberFormat="1" applyFont="1" applyBorder="1" applyAlignment="1">
      <alignment horizontal="center" vertical="center" wrapText="1"/>
    </xf>
    <xf numFmtId="164" fontId="0" fillId="0" borderId="0" xfId="1" applyNumberFormat="1" applyFont="1" applyFill="1" applyBorder="1" applyAlignment="1">
      <alignment horizontal="center" vertical="center" wrapText="1"/>
    </xf>
    <xf numFmtId="164" fontId="0" fillId="0" borderId="10" xfId="1" applyNumberFormat="1" applyFont="1" applyFill="1" applyBorder="1" applyAlignment="1">
      <alignment horizontal="center" vertical="center" wrapText="1"/>
    </xf>
    <xf numFmtId="0" fontId="0" fillId="0" borderId="0" xfId="0" applyFill="1" applyBorder="1" applyAlignment="1">
      <alignment horizontal="left" indent="1"/>
    </xf>
    <xf numFmtId="0" fontId="9" fillId="0" borderId="10" xfId="0" applyFont="1" applyBorder="1" applyAlignment="1">
      <alignment horizontal="left" vertical="center" wrapText="1"/>
    </xf>
    <xf numFmtId="0" fontId="0" fillId="0" borderId="10" xfId="0" applyBorder="1" applyAlignment="1">
      <alignment horizontal="left" vertical="top" indent="1"/>
    </xf>
    <xf numFmtId="0" fontId="0" fillId="0" borderId="10" xfId="0" applyBorder="1" applyAlignment="1">
      <alignment horizontal="left" vertical="center" wrapText="1" indent="1"/>
    </xf>
    <xf numFmtId="43" fontId="0" fillId="2" borderId="0" xfId="1" applyFont="1" applyFill="1" applyAlignment="1">
      <alignment horizontal="left" indent="1"/>
    </xf>
    <xf numFmtId="164" fontId="17" fillId="2" borderId="0" xfId="1" applyNumberFormat="1" applyFont="1" applyFill="1" applyBorder="1" applyProtection="1"/>
    <xf numFmtId="43" fontId="0" fillId="0" borderId="10" xfId="1" applyFont="1" applyBorder="1" applyAlignment="1">
      <alignment horizontal="center" vertical="center" wrapText="1"/>
    </xf>
    <xf numFmtId="164" fontId="0" fillId="0" borderId="0" xfId="0" applyNumberFormat="1" applyFill="1"/>
    <xf numFmtId="0" fontId="34" fillId="0" borderId="0" xfId="0" applyFont="1"/>
    <xf numFmtId="164" fontId="0" fillId="0" borderId="6" xfId="1" applyNumberFormat="1" applyFont="1" applyFill="1" applyBorder="1"/>
    <xf numFmtId="164" fontId="0" fillId="0" borderId="4" xfId="1" applyNumberFormat="1" applyFont="1" applyFill="1" applyBorder="1"/>
    <xf numFmtId="164" fontId="8" fillId="0" borderId="10" xfId="0" applyNumberFormat="1" applyFont="1" applyBorder="1"/>
    <xf numFmtId="164" fontId="8" fillId="0" borderId="17" xfId="0" applyNumberFormat="1" applyFont="1" applyBorder="1"/>
    <xf numFmtId="164" fontId="8" fillId="0" borderId="10" xfId="1" applyNumberFormat="1" applyFont="1" applyBorder="1" applyAlignment="1">
      <alignment horizontal="center"/>
    </xf>
    <xf numFmtId="164" fontId="0" fillId="0" borderId="5" xfId="1" applyNumberFormat="1" applyFont="1" applyBorder="1"/>
    <xf numFmtId="0" fontId="0" fillId="0" borderId="4" xfId="0" applyBorder="1"/>
    <xf numFmtId="0" fontId="0" fillId="0" borderId="0" xfId="0" applyBorder="1" applyAlignment="1">
      <alignment horizontal="center"/>
    </xf>
    <xf numFmtId="0" fontId="0" fillId="0" borderId="0" xfId="0" applyAlignment="1">
      <alignment horizontal="left" vertical="center" indent="1"/>
    </xf>
    <xf numFmtId="9" fontId="12" fillId="0" borderId="0" xfId="3" applyFont="1"/>
    <xf numFmtId="164" fontId="0" fillId="0" borderId="10" xfId="0" applyNumberFormat="1" applyFont="1" applyBorder="1"/>
    <xf numFmtId="0" fontId="0" fillId="7" borderId="0" xfId="0" applyFill="1" applyAlignment="1">
      <alignment horizontal="left" indent="1"/>
    </xf>
    <xf numFmtId="164" fontId="0" fillId="7" borderId="0" xfId="1" applyNumberFormat="1" applyFont="1" applyFill="1"/>
    <xf numFmtId="0" fontId="0" fillId="7" borderId="11" xfId="0" applyFill="1" applyBorder="1" applyAlignment="1">
      <alignment horizontal="left" vertical="center" wrapText="1" indent="1"/>
    </xf>
    <xf numFmtId="164" fontId="0" fillId="0" borderId="15" xfId="0" applyNumberFormat="1" applyBorder="1"/>
    <xf numFmtId="0" fontId="9" fillId="0" borderId="10" xfId="0" applyFont="1" applyBorder="1" applyAlignment="1">
      <alignment horizontal="center" vertical="center"/>
    </xf>
    <xf numFmtId="0" fontId="11" fillId="0" borderId="0" xfId="0" applyFont="1" applyFill="1" applyAlignment="1">
      <alignment horizontal="right"/>
    </xf>
    <xf numFmtId="37" fontId="11" fillId="0" borderId="0" xfId="1" applyNumberFormat="1" applyFont="1" applyFill="1" applyAlignment="1">
      <alignment horizontal="center"/>
    </xf>
    <xf numFmtId="0" fontId="9" fillId="0" borderId="0" xfId="0" applyFont="1" applyAlignment="1">
      <alignment horizontal="left" indent="1"/>
    </xf>
    <xf numFmtId="164" fontId="0" fillId="2" borderId="0" xfId="1" applyNumberFormat="1" applyFont="1" applyFill="1"/>
    <xf numFmtId="164" fontId="0" fillId="7" borderId="10" xfId="1" applyNumberFormat="1" applyFont="1" applyFill="1" applyBorder="1" applyAlignment="1">
      <alignment vertical="center"/>
    </xf>
    <xf numFmtId="164" fontId="0" fillId="7" borderId="11" xfId="1" applyNumberFormat="1" applyFont="1" applyFill="1" applyBorder="1" applyAlignment="1">
      <alignment vertical="center"/>
    </xf>
    <xf numFmtId="0" fontId="0" fillId="0" borderId="0" xfId="0" applyAlignment="1">
      <alignment horizontal="left" indent="3"/>
    </xf>
    <xf numFmtId="43" fontId="0" fillId="0" borderId="0" xfId="1" applyFont="1" applyFill="1"/>
    <xf numFmtId="0" fontId="0" fillId="0" borderId="0" xfId="0" applyFont="1" applyAlignment="1">
      <alignment horizontal="left" indent="2"/>
    </xf>
    <xf numFmtId="164" fontId="0" fillId="0" borderId="10" xfId="1" applyNumberFormat="1" applyFont="1" applyFill="1" applyBorder="1" applyAlignment="1">
      <alignment vertical="center"/>
    </xf>
    <xf numFmtId="0" fontId="34" fillId="0" borderId="0" xfId="0" applyFont="1" applyAlignment="1">
      <alignment horizontal="center"/>
    </xf>
    <xf numFmtId="0" fontId="26" fillId="0" borderId="10" xfId="14" applyFont="1" applyFill="1" applyBorder="1" applyAlignment="1">
      <alignment horizontal="center" vertical="center" wrapText="1"/>
    </xf>
    <xf numFmtId="43" fontId="8" fillId="0" borderId="0" xfId="1" applyFont="1" applyAlignment="1">
      <alignment horizontal="center"/>
    </xf>
    <xf numFmtId="165" fontId="8" fillId="0" borderId="0" xfId="1" applyNumberFormat="1" applyFont="1" applyBorder="1" applyAlignment="1">
      <alignment horizontal="center"/>
    </xf>
    <xf numFmtId="43" fontId="9" fillId="0" borderId="0" xfId="1" applyFont="1" applyAlignment="1">
      <alignment horizontal="left"/>
    </xf>
    <xf numFmtId="164" fontId="0" fillId="0" borderId="10" xfId="1" applyNumberFormat="1" applyFont="1" applyFill="1" applyBorder="1" applyAlignment="1">
      <alignment horizontal="center"/>
    </xf>
    <xf numFmtId="165" fontId="36" fillId="2" borderId="0" xfId="1" applyNumberFormat="1" applyFont="1" applyFill="1" applyBorder="1" applyAlignment="1">
      <alignment horizontal="center"/>
    </xf>
    <xf numFmtId="165" fontId="36" fillId="0" borderId="0" xfId="1" applyNumberFormat="1" applyFont="1" applyBorder="1" applyAlignment="1">
      <alignment horizontal="center"/>
    </xf>
    <xf numFmtId="165" fontId="36" fillId="5" borderId="0" xfId="1" applyNumberFormat="1" applyFont="1" applyFill="1" applyBorder="1" applyAlignment="1">
      <alignment horizontal="center"/>
    </xf>
    <xf numFmtId="164" fontId="9" fillId="0" borderId="0" xfId="1" applyNumberFormat="1" applyFont="1" applyAlignment="1">
      <alignment horizontal="center"/>
    </xf>
    <xf numFmtId="43" fontId="35" fillId="0" borderId="0" xfId="1" applyFont="1" applyAlignment="1">
      <alignment horizontal="center"/>
    </xf>
    <xf numFmtId="0" fontId="0" fillId="0" borderId="0" xfId="0" applyAlignment="1">
      <alignment horizontal="left" indent="4"/>
    </xf>
    <xf numFmtId="43" fontId="8" fillId="0" borderId="0" xfId="1" applyFont="1"/>
    <xf numFmtId="169" fontId="0" fillId="0" borderId="0" xfId="3" applyNumberFormat="1" applyFont="1"/>
    <xf numFmtId="0" fontId="0" fillId="3" borderId="0" xfId="0" applyFont="1" applyFill="1" applyAlignment="1">
      <alignment horizontal="left" indent="2"/>
    </xf>
    <xf numFmtId="0" fontId="0" fillId="0" borderId="2" xfId="0" applyBorder="1" applyAlignment="1">
      <alignment horizontal="left" vertical="center" wrapText="1" indent="1"/>
    </xf>
    <xf numFmtId="0" fontId="0" fillId="3" borderId="11" xfId="0" applyFill="1" applyBorder="1" applyAlignment="1">
      <alignment horizontal="left" vertical="center" wrapText="1" indent="1"/>
    </xf>
    <xf numFmtId="43" fontId="12" fillId="0" borderId="0" xfId="1" applyFont="1" applyAlignment="1">
      <alignment horizontal="center"/>
    </xf>
    <xf numFmtId="43" fontId="12" fillId="0" borderId="0" xfId="1" applyFont="1" applyAlignment="1">
      <alignment horizontal="right" indent="1"/>
    </xf>
    <xf numFmtId="0" fontId="26" fillId="0" borderId="0" xfId="0" applyFont="1" applyAlignment="1">
      <alignment horizontal="right"/>
    </xf>
    <xf numFmtId="0" fontId="37" fillId="0" borderId="0" xfId="0" applyFont="1"/>
    <xf numFmtId="164" fontId="35" fillId="5" borderId="0" xfId="1" applyNumberFormat="1" applyFont="1" applyFill="1"/>
    <xf numFmtId="164" fontId="35" fillId="2" borderId="0" xfId="0" applyNumberFormat="1" applyFont="1" applyFill="1"/>
    <xf numFmtId="0" fontId="0" fillId="0" borderId="0" xfId="0" applyFont="1" applyFill="1"/>
    <xf numFmtId="43" fontId="0" fillId="0" borderId="0" xfId="1" applyFont="1" applyAlignment="1">
      <alignment horizontal="center"/>
    </xf>
    <xf numFmtId="0" fontId="39" fillId="0" borderId="0" xfId="0" applyFont="1" applyAlignment="1">
      <alignment horizontal="center" vertical="center"/>
    </xf>
    <xf numFmtId="0" fontId="24" fillId="0" borderId="0" xfId="0" applyFont="1" applyAlignment="1"/>
    <xf numFmtId="0" fontId="2" fillId="0" borderId="0" xfId="0" applyFont="1" applyAlignment="1">
      <alignment vertical="center"/>
    </xf>
    <xf numFmtId="164" fontId="8" fillId="0" borderId="10" xfId="1" applyNumberFormat="1" applyBorder="1" applyAlignment="1">
      <alignment vertical="center"/>
    </xf>
    <xf numFmtId="0" fontId="26" fillId="3" borderId="10" xfId="0" applyFont="1" applyFill="1" applyBorder="1" applyAlignment="1">
      <alignment horizontal="center" vertical="center" wrapText="1"/>
    </xf>
    <xf numFmtId="164" fontId="0" fillId="0" borderId="18" xfId="1" applyNumberFormat="1" applyFont="1" applyBorder="1"/>
    <xf numFmtId="49" fontId="40" fillId="0" borderId="10" xfId="17" applyNumberFormat="1" applyFont="1" applyBorder="1" applyAlignment="1">
      <alignment horizontal="center" vertical="center"/>
    </xf>
    <xf numFmtId="49" fontId="40" fillId="0" borderId="10" xfId="17" applyNumberFormat="1" applyFont="1" applyBorder="1" applyAlignment="1">
      <alignment horizontal="center" vertical="center" wrapText="1"/>
    </xf>
    <xf numFmtId="0" fontId="2" fillId="0" borderId="0" xfId="17"/>
    <xf numFmtId="0" fontId="41" fillId="0" borderId="10" xfId="17" applyFont="1" applyBorder="1" applyAlignment="1">
      <alignment horizontal="center" vertical="center"/>
    </xf>
    <xf numFmtId="0" fontId="41" fillId="0" borderId="10" xfId="17" applyFont="1" applyBorder="1" applyAlignment="1">
      <alignment horizontal="center" vertical="center" wrapText="1"/>
    </xf>
    <xf numFmtId="170" fontId="41" fillId="0" borderId="10" xfId="17" applyNumberFormat="1" applyFont="1" applyBorder="1" applyAlignment="1">
      <alignment horizontal="center" vertical="center"/>
    </xf>
    <xf numFmtId="0" fontId="41" fillId="6" borderId="10" xfId="17" applyFont="1" applyFill="1" applyBorder="1" applyAlignment="1">
      <alignment horizontal="center" vertical="center"/>
    </xf>
    <xf numFmtId="0" fontId="41" fillId="6" borderId="10" xfId="17" applyFont="1" applyFill="1" applyBorder="1" applyAlignment="1">
      <alignment horizontal="center" vertical="center" wrapText="1"/>
    </xf>
    <xf numFmtId="170" fontId="41" fillId="6" borderId="10" xfId="17" applyNumberFormat="1" applyFont="1" applyFill="1" applyBorder="1" applyAlignment="1">
      <alignment horizontal="center" vertical="center"/>
    </xf>
    <xf numFmtId="0" fontId="40" fillId="0" borderId="10" xfId="17" applyFont="1" applyBorder="1" applyAlignment="1">
      <alignment horizontal="center" vertical="center"/>
    </xf>
    <xf numFmtId="0" fontId="41" fillId="6" borderId="10" xfId="17" applyFont="1" applyFill="1" applyBorder="1" applyAlignment="1">
      <alignment horizontal="left" vertical="center"/>
    </xf>
    <xf numFmtId="0" fontId="41" fillId="0" borderId="10" xfId="17" applyFont="1" applyBorder="1" applyAlignment="1">
      <alignment vertical="center" wrapText="1"/>
    </xf>
    <xf numFmtId="0" fontId="41" fillId="0" borderId="10" xfId="17" applyFont="1" applyBorder="1" applyAlignment="1">
      <alignment vertical="center"/>
    </xf>
    <xf numFmtId="170" fontId="40" fillId="0" borderId="10" xfId="17" applyNumberFormat="1" applyFont="1" applyBorder="1" applyAlignment="1">
      <alignment horizontal="center" vertical="center"/>
    </xf>
    <xf numFmtId="0" fontId="40" fillId="0" borderId="10" xfId="17" applyFont="1" applyBorder="1" applyAlignment="1">
      <alignment vertical="center"/>
    </xf>
    <xf numFmtId="0" fontId="42" fillId="0" borderId="0" xfId="17" applyFont="1" applyAlignment="1">
      <alignment horizontal="center"/>
    </xf>
    <xf numFmtId="0" fontId="42" fillId="0" borderId="0" xfId="17" applyFont="1"/>
    <xf numFmtId="0" fontId="2" fillId="0" borderId="0" xfId="17" applyAlignment="1">
      <alignment horizontal="center"/>
    </xf>
    <xf numFmtId="0" fontId="0" fillId="3" borderId="10" xfId="0" applyFont="1" applyFill="1" applyBorder="1" applyAlignment="1">
      <alignment horizontal="center" vertical="center" wrapText="1"/>
    </xf>
    <xf numFmtId="0" fontId="0" fillId="0" borderId="0" xfId="0" applyAlignment="1">
      <alignment horizontal="right" indent="1"/>
    </xf>
    <xf numFmtId="49" fontId="40" fillId="0" borderId="10" xfId="18" applyNumberFormat="1" applyFont="1" applyBorder="1" applyAlignment="1">
      <alignment horizontal="center" vertical="center"/>
    </xf>
    <xf numFmtId="49" fontId="40" fillId="0" borderId="10" xfId="18" applyNumberFormat="1" applyFont="1" applyBorder="1" applyAlignment="1">
      <alignment horizontal="center" vertical="center" wrapText="1"/>
    </xf>
    <xf numFmtId="0" fontId="1" fillId="0" borderId="0" xfId="18"/>
    <xf numFmtId="0" fontId="41" fillId="0" borderId="10" xfId="18" applyFont="1" applyBorder="1" applyAlignment="1">
      <alignment horizontal="center" vertical="center"/>
    </xf>
    <xf numFmtId="0" fontId="41" fillId="0" borderId="10" xfId="18" applyFont="1" applyBorder="1" applyAlignment="1">
      <alignment horizontal="left" vertical="center"/>
    </xf>
    <xf numFmtId="0" fontId="41" fillId="0" borderId="10" xfId="18" applyFont="1" applyBorder="1" applyAlignment="1">
      <alignment horizontal="center" vertical="center" wrapText="1"/>
    </xf>
    <xf numFmtId="3" fontId="41" fillId="0" borderId="10" xfId="18" applyNumberFormat="1" applyFont="1" applyBorder="1" applyAlignment="1">
      <alignment horizontal="left" vertical="center"/>
    </xf>
    <xf numFmtId="170" fontId="41" fillId="0" borderId="10" xfId="18" applyNumberFormat="1" applyFont="1" applyBorder="1" applyAlignment="1">
      <alignment horizontal="center" vertical="center"/>
    </xf>
    <xf numFmtId="0" fontId="41" fillId="6" borderId="10" xfId="18" applyFont="1" applyFill="1" applyBorder="1" applyAlignment="1">
      <alignment horizontal="center" vertical="center"/>
    </xf>
    <xf numFmtId="0" fontId="41" fillId="6" borderId="10" xfId="18" applyFont="1" applyFill="1" applyBorder="1" applyAlignment="1">
      <alignment horizontal="left" vertical="center"/>
    </xf>
    <xf numFmtId="0" fontId="41" fillId="6" borderId="10" xfId="18" applyFont="1" applyFill="1" applyBorder="1" applyAlignment="1">
      <alignment horizontal="center" vertical="center" wrapText="1"/>
    </xf>
    <xf numFmtId="3" fontId="41" fillId="6" borderId="10" xfId="18" applyNumberFormat="1" applyFont="1" applyFill="1" applyBorder="1" applyAlignment="1">
      <alignment horizontal="left" vertical="center"/>
    </xf>
    <xf numFmtId="170" fontId="41" fillId="6" borderId="10" xfId="18" applyNumberFormat="1" applyFont="1" applyFill="1" applyBorder="1" applyAlignment="1">
      <alignment horizontal="center" vertical="center"/>
    </xf>
    <xf numFmtId="0" fontId="41" fillId="0" borderId="10" xfId="18" applyFont="1" applyBorder="1" applyAlignment="1">
      <alignment vertical="center" wrapText="1"/>
    </xf>
    <xf numFmtId="0" fontId="41" fillId="0" borderId="10" xfId="18" applyFont="1" applyBorder="1" applyAlignment="1">
      <alignment vertical="center"/>
    </xf>
    <xf numFmtId="170" fontId="40" fillId="0" borderId="10" xfId="18" applyNumberFormat="1" applyFont="1" applyBorder="1" applyAlignment="1">
      <alignment horizontal="center" vertical="center"/>
    </xf>
    <xf numFmtId="0" fontId="40" fillId="0" borderId="10" xfId="18" applyFont="1" applyBorder="1" applyAlignment="1">
      <alignment vertical="center"/>
    </xf>
    <xf numFmtId="0" fontId="40" fillId="0" borderId="10" xfId="18" applyFont="1" applyBorder="1" applyAlignment="1">
      <alignment horizontal="center" vertical="center"/>
    </xf>
    <xf numFmtId="0" fontId="42" fillId="0" borderId="0" xfId="18" applyFont="1" applyAlignment="1">
      <alignment horizontal="center"/>
    </xf>
    <xf numFmtId="0" fontId="42" fillId="0" borderId="0" xfId="18" applyFont="1"/>
    <xf numFmtId="0" fontId="1" fillId="0" borderId="0" xfId="18" applyAlignment="1">
      <alignment horizontal="center"/>
    </xf>
    <xf numFmtId="49" fontId="41" fillId="0" borderId="10" xfId="18" applyNumberFormat="1" applyFont="1" applyBorder="1" applyAlignment="1">
      <alignment horizontal="center" vertical="center"/>
    </xf>
    <xf numFmtId="49" fontId="41" fillId="0" borderId="10" xfId="18" applyNumberFormat="1" applyFont="1" applyBorder="1" applyAlignment="1">
      <alignment horizontal="center" vertical="center" wrapText="1"/>
    </xf>
    <xf numFmtId="3" fontId="41" fillId="0" borderId="10" xfId="18" applyNumberFormat="1" applyFont="1" applyBorder="1" applyAlignment="1">
      <alignment horizontal="center" vertical="center"/>
    </xf>
    <xf numFmtId="44" fontId="41" fillId="0" borderId="10" xfId="19" applyFont="1" applyBorder="1" applyAlignment="1">
      <alignment horizontal="center" vertical="center"/>
    </xf>
    <xf numFmtId="3" fontId="41" fillId="6" borderId="10" xfId="18" applyNumberFormat="1" applyFont="1" applyFill="1" applyBorder="1" applyAlignment="1">
      <alignment horizontal="center" vertical="center"/>
    </xf>
    <xf numFmtId="44" fontId="41" fillId="6" borderId="10" xfId="19" applyFont="1" applyFill="1" applyBorder="1" applyAlignment="1">
      <alignment horizontal="center" vertical="center"/>
    </xf>
    <xf numFmtId="9" fontId="0" fillId="0" borderId="0" xfId="3" applyFont="1" applyFill="1" applyAlignment="1">
      <alignment vertical="center" wrapText="1"/>
    </xf>
    <xf numFmtId="43" fontId="0" fillId="0" borderId="0" xfId="1" applyFont="1" applyFill="1" applyAlignment="1">
      <alignment vertical="center" wrapText="1"/>
    </xf>
    <xf numFmtId="169" fontId="0" fillId="0" borderId="0" xfId="3" applyNumberFormat="1" applyFont="1" applyFill="1"/>
    <xf numFmtId="9" fontId="0" fillId="0" borderId="0" xfId="3" applyFont="1" applyFill="1"/>
    <xf numFmtId="165" fontId="43" fillId="5" borderId="0" xfId="1" applyNumberFormat="1" applyFont="1" applyFill="1" applyBorder="1" applyAlignment="1">
      <alignment horizontal="center"/>
    </xf>
    <xf numFmtId="164" fontId="0" fillId="0" borderId="1" xfId="1" applyNumberFormat="1" applyFont="1" applyFill="1" applyBorder="1" applyAlignment="1">
      <alignment vertical="center"/>
    </xf>
    <xf numFmtId="165" fontId="0" fillId="0" borderId="10" xfId="1" applyNumberFormat="1" applyFont="1" applyFill="1" applyBorder="1" applyAlignment="1">
      <alignment horizontal="center" vertical="center" wrapText="1"/>
    </xf>
    <xf numFmtId="0" fontId="0" fillId="0" borderId="11" xfId="0" applyFill="1" applyBorder="1" applyAlignment="1">
      <alignment horizontal="left" vertical="center" wrapText="1" indent="1"/>
    </xf>
    <xf numFmtId="0" fontId="0" fillId="0" borderId="0" xfId="0" applyFont="1" applyAlignment="1">
      <alignment horizontal="left" indent="4"/>
    </xf>
    <xf numFmtId="0" fontId="17" fillId="0" borderId="10" xfId="0" applyFont="1" applyBorder="1" applyAlignment="1">
      <alignment vertical="center" wrapText="1"/>
    </xf>
    <xf numFmtId="0" fontId="0" fillId="0" borderId="12" xfId="0" applyBorder="1"/>
    <xf numFmtId="0" fontId="0" fillId="0" borderId="7" xfId="0" applyBorder="1"/>
    <xf numFmtId="0" fontId="0" fillId="0" borderId="12" xfId="0" applyBorder="1" applyAlignment="1">
      <alignment horizontal="center"/>
    </xf>
    <xf numFmtId="43" fontId="0" fillId="0" borderId="10" xfId="1" applyFont="1" applyBorder="1" applyAlignment="1">
      <alignment vertical="center"/>
    </xf>
    <xf numFmtId="43" fontId="0" fillId="0" borderId="10" xfId="1" applyFont="1" applyBorder="1" applyAlignment="1">
      <alignment horizontal="left" wrapText="1" indent="1"/>
    </xf>
    <xf numFmtId="43" fontId="17" fillId="0" borderId="10" xfId="1" applyFont="1" applyBorder="1" applyAlignment="1">
      <alignment vertical="center" wrapText="1"/>
    </xf>
    <xf numFmtId="164" fontId="17" fillId="0" borderId="10" xfId="1" applyNumberFormat="1" applyFont="1" applyBorder="1"/>
    <xf numFmtId="164" fontId="0" fillId="0" borderId="13" xfId="1" applyNumberFormat="1" applyFont="1" applyBorder="1"/>
    <xf numFmtId="164" fontId="0" fillId="0" borderId="26" xfId="1" applyNumberFormat="1" applyFont="1" applyBorder="1"/>
    <xf numFmtId="0" fontId="0" fillId="8" borderId="0" xfId="0" applyFill="1"/>
    <xf numFmtId="164" fontId="0" fillId="8" borderId="0" xfId="1" applyNumberFormat="1" applyFont="1" applyFill="1"/>
    <xf numFmtId="164" fontId="12" fillId="8" borderId="0" xfId="1" applyNumberFormat="1" applyFont="1" applyFill="1"/>
    <xf numFmtId="0" fontId="0" fillId="9" borderId="0" xfId="0" applyFill="1"/>
    <xf numFmtId="164" fontId="0" fillId="9" borderId="0" xfId="1" applyNumberFormat="1" applyFont="1" applyFill="1"/>
    <xf numFmtId="43" fontId="0" fillId="9" borderId="0" xfId="1" applyFont="1" applyFill="1"/>
    <xf numFmtId="164" fontId="0" fillId="0" borderId="11" xfId="1" applyNumberFormat="1" applyFont="1" applyBorder="1" applyAlignment="1">
      <alignment horizontal="center" vertical="center"/>
    </xf>
    <xf numFmtId="164" fontId="0" fillId="0" borderId="11" xfId="1" applyNumberFormat="1" applyFont="1" applyBorder="1" applyAlignment="1">
      <alignment horizontal="center"/>
    </xf>
    <xf numFmtId="164" fontId="0" fillId="0" borderId="11" xfId="1" applyNumberFormat="1" applyFont="1" applyBorder="1" applyAlignment="1">
      <alignment horizontal="right" vertical="center"/>
    </xf>
    <xf numFmtId="43" fontId="13" fillId="0" borderId="10" xfId="1" applyFont="1" applyBorder="1" applyAlignment="1">
      <alignment vertical="center" wrapText="1"/>
    </xf>
    <xf numFmtId="164" fontId="8" fillId="0" borderId="13" xfId="1" applyNumberFormat="1" applyFont="1" applyBorder="1" applyAlignment="1">
      <alignment vertical="center"/>
    </xf>
    <xf numFmtId="164" fontId="8" fillId="0" borderId="12" xfId="1" applyNumberFormat="1" applyFont="1" applyBorder="1" applyAlignment="1">
      <alignment vertical="center"/>
    </xf>
    <xf numFmtId="164" fontId="8" fillId="0" borderId="12" xfId="1" applyNumberFormat="1" applyFont="1" applyBorder="1"/>
    <xf numFmtId="43" fontId="9" fillId="2" borderId="15" xfId="1" applyFont="1" applyFill="1" applyBorder="1" applyAlignment="1">
      <alignment horizontal="center"/>
    </xf>
    <xf numFmtId="0" fontId="44" fillId="0" borderId="30" xfId="0" applyFont="1" applyBorder="1" applyAlignment="1">
      <alignment horizontal="center" vertical="center"/>
    </xf>
    <xf numFmtId="0" fontId="44" fillId="0" borderId="28" xfId="0" applyFont="1" applyBorder="1" applyAlignment="1">
      <alignment horizontal="center" vertical="center"/>
    </xf>
    <xf numFmtId="0" fontId="44" fillId="0" borderId="31" xfId="0" applyFont="1" applyBorder="1" applyAlignment="1">
      <alignment horizontal="center" vertical="center"/>
    </xf>
    <xf numFmtId="0" fontId="0" fillId="10" borderId="30" xfId="0" applyFill="1" applyBorder="1" applyAlignment="1">
      <alignment horizontal="left" vertical="center"/>
    </xf>
    <xf numFmtId="0" fontId="0" fillId="10" borderId="31" xfId="0" applyFill="1" applyBorder="1" applyAlignment="1">
      <alignment horizontal="left" vertical="center"/>
    </xf>
    <xf numFmtId="44" fontId="0" fillId="10" borderId="32" xfId="0" applyNumberFormat="1" applyFill="1" applyBorder="1" applyAlignment="1">
      <alignment horizontal="center" vertical="center"/>
    </xf>
    <xf numFmtId="0" fontId="0" fillId="10" borderId="33" xfId="0" applyFill="1" applyBorder="1" applyAlignment="1">
      <alignment horizontal="center" vertical="center"/>
    </xf>
    <xf numFmtId="0" fontId="0" fillId="10" borderId="0" xfId="0" applyFill="1" applyAlignment="1">
      <alignment horizontal="left" vertical="center"/>
    </xf>
    <xf numFmtId="0" fontId="8" fillId="0" borderId="0" xfId="0" applyFont="1" applyAlignment="1">
      <alignment vertical="center"/>
    </xf>
    <xf numFmtId="0" fontId="0" fillId="10" borderId="35" xfId="0" applyFill="1" applyBorder="1"/>
    <xf numFmtId="0" fontId="0" fillId="10" borderId="36" xfId="0" applyFill="1" applyBorder="1"/>
    <xf numFmtId="44" fontId="0" fillId="10" borderId="37" xfId="0" applyNumberFormat="1" applyFill="1" applyBorder="1"/>
    <xf numFmtId="44" fontId="0" fillId="11" borderId="0" xfId="0" applyNumberFormat="1" applyFill="1"/>
    <xf numFmtId="44" fontId="0" fillId="3" borderId="27" xfId="0" applyNumberFormat="1" applyFill="1" applyBorder="1"/>
    <xf numFmtId="44" fontId="0" fillId="0" borderId="0" xfId="0" applyNumberFormat="1"/>
    <xf numFmtId="0" fontId="0" fillId="10" borderId="30" xfId="0" applyFill="1" applyBorder="1"/>
    <xf numFmtId="0" fontId="0" fillId="10" borderId="31" xfId="0" applyFill="1" applyBorder="1"/>
    <xf numFmtId="44" fontId="0" fillId="10" borderId="32" xfId="0" applyNumberFormat="1" applyFill="1" applyBorder="1"/>
    <xf numFmtId="0" fontId="0" fillId="10" borderId="33" xfId="0" applyFill="1" applyBorder="1"/>
    <xf numFmtId="0" fontId="0" fillId="10" borderId="0" xfId="0" applyFill="1"/>
    <xf numFmtId="44" fontId="0" fillId="3" borderId="29" xfId="0" applyNumberFormat="1" applyFill="1" applyBorder="1"/>
    <xf numFmtId="43" fontId="0" fillId="10" borderId="38" xfId="1" applyFont="1" applyFill="1" applyBorder="1" applyAlignment="1">
      <alignment horizontal="left" vertical="center" wrapText="1"/>
    </xf>
    <xf numFmtId="0" fontId="0" fillId="10" borderId="39" xfId="0" applyFill="1" applyBorder="1"/>
    <xf numFmtId="43" fontId="0" fillId="0" borderId="0" xfId="1" applyFont="1" applyFill="1" applyBorder="1" applyAlignment="1">
      <alignment horizontal="left" vertical="center" wrapText="1"/>
    </xf>
    <xf numFmtId="43" fontId="0" fillId="10" borderId="30" xfId="1" applyFont="1" applyFill="1" applyBorder="1" applyAlignment="1">
      <alignment horizontal="left" vertical="center" wrapText="1"/>
    </xf>
    <xf numFmtId="43" fontId="0" fillId="10" borderId="33" xfId="1" applyFont="1" applyFill="1" applyBorder="1" applyAlignment="1">
      <alignment horizontal="left" vertical="center" wrapText="1"/>
    </xf>
    <xf numFmtId="43" fontId="0" fillId="10" borderId="35" xfId="1" applyFont="1" applyFill="1" applyBorder="1" applyAlignment="1">
      <alignment horizontal="left" vertical="center" wrapText="1"/>
    </xf>
    <xf numFmtId="0" fontId="11" fillId="10" borderId="31" xfId="0" applyFont="1" applyFill="1" applyBorder="1"/>
    <xf numFmtId="0" fontId="13" fillId="10" borderId="31" xfId="0" applyFont="1" applyFill="1" applyBorder="1" applyAlignment="1">
      <alignment vertical="center"/>
    </xf>
    <xf numFmtId="0" fontId="11" fillId="10" borderId="0" xfId="0" applyFont="1" applyFill="1"/>
    <xf numFmtId="43" fontId="17" fillId="10" borderId="33" xfId="1" applyFont="1" applyFill="1" applyBorder="1" applyAlignment="1">
      <alignment horizontal="left" vertical="center" wrapText="1"/>
    </xf>
    <xf numFmtId="43" fontId="17" fillId="10" borderId="35" xfId="1" applyFont="1" applyFill="1" applyBorder="1" applyAlignment="1">
      <alignment horizontal="left" vertical="center" wrapText="1"/>
    </xf>
    <xf numFmtId="43" fontId="17" fillId="0" borderId="0" xfId="1" applyFont="1" applyFill="1" applyBorder="1" applyAlignment="1">
      <alignment horizontal="left" vertical="center" wrapText="1"/>
    </xf>
    <xf numFmtId="43" fontId="17" fillId="10" borderId="30" xfId="1" applyFont="1" applyFill="1" applyBorder="1" applyAlignment="1">
      <alignment horizontal="left" vertical="center" wrapText="1"/>
    </xf>
    <xf numFmtId="164" fontId="8" fillId="0" borderId="11" xfId="1" applyNumberFormat="1" applyFont="1" applyFill="1" applyBorder="1" applyAlignment="1">
      <alignment horizontal="center" vertical="center"/>
    </xf>
    <xf numFmtId="43" fontId="0" fillId="10" borderId="34" xfId="1" applyFont="1" applyFill="1" applyBorder="1" applyAlignment="1">
      <alignment horizontal="center" vertical="center"/>
    </xf>
    <xf numFmtId="43" fontId="0" fillId="10" borderId="37" xfId="1" applyFont="1" applyFill="1" applyBorder="1"/>
    <xf numFmtId="43" fontId="0" fillId="10" borderId="34" xfId="1" applyFont="1" applyFill="1" applyBorder="1"/>
    <xf numFmtId="0" fontId="0" fillId="0" borderId="10" xfId="0" applyFont="1" applyFill="1" applyBorder="1" applyAlignment="1">
      <alignment horizontal="center" vertical="center" wrapText="1"/>
    </xf>
    <xf numFmtId="0" fontId="10" fillId="0" borderId="10" xfId="0" applyFont="1" applyFill="1" applyBorder="1"/>
    <xf numFmtId="43" fontId="0" fillId="0" borderId="2" xfId="1" applyFont="1" applyBorder="1"/>
    <xf numFmtId="0" fontId="0" fillId="0" borderId="11" xfId="0" applyFont="1" applyBorder="1" applyAlignment="1">
      <alignment vertical="center" wrapText="1"/>
    </xf>
    <xf numFmtId="164" fontId="0" fillId="0" borderId="0" xfId="1" applyNumberFormat="1" applyFont="1" applyBorder="1" applyAlignment="1">
      <alignment vertical="center"/>
    </xf>
    <xf numFmtId="164" fontId="0" fillId="0" borderId="8" xfId="1" applyNumberFormat="1" applyFont="1" applyBorder="1" applyAlignment="1">
      <alignment vertical="center" wrapText="1"/>
    </xf>
    <xf numFmtId="0" fontId="10" fillId="0" borderId="8" xfId="0" applyFont="1" applyBorder="1"/>
    <xf numFmtId="164" fontId="8" fillId="0" borderId="8" xfId="1" applyNumberFormat="1" applyFont="1" applyBorder="1"/>
    <xf numFmtId="164" fontId="0" fillId="0" borderId="2" xfId="1" applyNumberFormat="1" applyFont="1" applyBorder="1" applyAlignment="1">
      <alignment vertical="center"/>
    </xf>
    <xf numFmtId="164" fontId="0" fillId="0" borderId="2" xfId="1" applyNumberFormat="1" applyFont="1" applyBorder="1" applyAlignment="1">
      <alignment vertical="center" wrapText="1"/>
    </xf>
    <xf numFmtId="164" fontId="8" fillId="0" borderId="2" xfId="1" applyNumberFormat="1" applyFont="1" applyBorder="1"/>
    <xf numFmtId="164" fontId="8" fillId="0" borderId="4" xfId="1" applyNumberFormat="1" applyFont="1" applyBorder="1"/>
    <xf numFmtId="0" fontId="0" fillId="0" borderId="15" xfId="0" applyBorder="1" applyAlignment="1">
      <alignment horizontal="left" vertical="center" wrapText="1" indent="1"/>
    </xf>
    <xf numFmtId="0" fontId="0" fillId="0" borderId="14" xfId="0" applyBorder="1" applyAlignment="1">
      <alignment horizontal="left" vertical="center" wrapText="1" indent="3"/>
    </xf>
    <xf numFmtId="0" fontId="0" fillId="0" borderId="14" xfId="0" applyBorder="1" applyAlignment="1">
      <alignment horizontal="left" vertical="center" wrapText="1" indent="1"/>
    </xf>
    <xf numFmtId="43" fontId="0" fillId="0" borderId="0" xfId="1" applyFont="1" applyFill="1" applyAlignment="1">
      <alignment vertical="center"/>
    </xf>
    <xf numFmtId="164" fontId="26" fillId="0" borderId="10" xfId="1" applyNumberFormat="1" applyFont="1" applyBorder="1" applyAlignment="1">
      <alignment vertical="center" wrapText="1"/>
    </xf>
    <xf numFmtId="164" fontId="26" fillId="0" borderId="10" xfId="1" applyNumberFormat="1" applyFont="1" applyBorder="1" applyAlignment="1">
      <alignment horizontal="center" vertical="center" wrapText="1"/>
    </xf>
    <xf numFmtId="0" fontId="45" fillId="0" borderId="0" xfId="0" applyFont="1" applyAlignment="1">
      <alignment horizontal="center" vertical="center"/>
    </xf>
    <xf numFmtId="0" fontId="46" fillId="0" borderId="0" xfId="0" applyFont="1" applyAlignment="1">
      <alignment horizontal="justify" vertical="center"/>
    </xf>
    <xf numFmtId="0" fontId="47" fillId="0" borderId="0" xfId="0" applyFont="1" applyAlignment="1">
      <alignment horizontal="justify" vertical="center" wrapText="1"/>
    </xf>
    <xf numFmtId="0" fontId="47" fillId="0" borderId="0" xfId="0" applyFont="1" applyAlignment="1">
      <alignment horizontal="justify" vertical="top" wrapText="1"/>
    </xf>
    <xf numFmtId="0" fontId="48" fillId="0" borderId="0" xfId="0" applyFont="1" applyAlignment="1">
      <alignment horizontal="justify" vertical="center" wrapText="1"/>
    </xf>
    <xf numFmtId="0" fontId="34" fillId="0" borderId="0" xfId="0" applyFont="1" applyBorder="1"/>
    <xf numFmtId="0" fontId="0" fillId="11" borderId="10" xfId="0" applyFont="1" applyFill="1" applyBorder="1" applyAlignment="1">
      <alignment horizontal="center" vertical="center" wrapText="1"/>
    </xf>
    <xf numFmtId="165" fontId="0" fillId="0" borderId="0" xfId="1" applyNumberFormat="1" applyFont="1" applyFill="1" applyAlignment="1">
      <alignment horizontal="center"/>
    </xf>
    <xf numFmtId="10" fontId="0" fillId="0" borderId="0" xfId="3" applyNumberFormat="1" applyFont="1" applyFill="1" applyAlignment="1">
      <alignment horizontal="center"/>
    </xf>
    <xf numFmtId="164" fontId="8" fillId="0" borderId="0" xfId="0" applyNumberFormat="1" applyFont="1" applyFill="1"/>
    <xf numFmtId="164" fontId="0" fillId="0" borderId="0" xfId="1" applyNumberFormat="1" applyFont="1" applyFill="1" applyAlignment="1">
      <alignment horizontal="left" indent="2"/>
    </xf>
    <xf numFmtId="164" fontId="0" fillId="0" borderId="0" xfId="0" applyNumberFormat="1" applyFont="1" applyFill="1"/>
    <xf numFmtId="164" fontId="8" fillId="0" borderId="13" xfId="1" applyNumberFormat="1" applyFont="1" applyBorder="1"/>
    <xf numFmtId="164" fontId="0" fillId="0" borderId="10" xfId="1" applyNumberFormat="1" applyFont="1" applyBorder="1" applyAlignment="1">
      <alignment horizontal="center" vertical="center" wrapText="1"/>
    </xf>
    <xf numFmtId="0" fontId="0" fillId="8" borderId="10" xfId="0" applyFont="1" applyFill="1" applyBorder="1" applyAlignment="1">
      <alignment horizontal="center"/>
    </xf>
    <xf numFmtId="171" fontId="17" fillId="8" borderId="10" xfId="0" applyNumberFormat="1" applyFont="1" applyFill="1" applyBorder="1" applyAlignment="1">
      <alignment horizontal="center"/>
    </xf>
    <xf numFmtId="0" fontId="0" fillId="8" borderId="10" xfId="0" applyFont="1" applyFill="1" applyBorder="1"/>
    <xf numFmtId="0" fontId="0" fillId="3" borderId="10" xfId="0" applyFont="1" applyFill="1" applyBorder="1" applyAlignment="1">
      <alignment horizontal="center"/>
    </xf>
    <xf numFmtId="171" fontId="0" fillId="3" borderId="10" xfId="0" applyNumberFormat="1" applyFont="1" applyFill="1" applyBorder="1" applyAlignment="1">
      <alignment horizontal="center"/>
    </xf>
    <xf numFmtId="171" fontId="0" fillId="0" borderId="10" xfId="0" applyNumberFormat="1" applyFont="1" applyBorder="1" applyAlignment="1">
      <alignment horizontal="center"/>
    </xf>
    <xf numFmtId="164" fontId="8" fillId="0" borderId="7" xfId="1" applyNumberFormat="1" applyFont="1" applyBorder="1"/>
    <xf numFmtId="164" fontId="26" fillId="3" borderId="10" xfId="1" applyNumberFormat="1" applyFont="1" applyFill="1" applyBorder="1" applyAlignment="1">
      <alignment horizontal="center" vertical="center"/>
    </xf>
    <xf numFmtId="0" fontId="0" fillId="3" borderId="0" xfId="0" applyFill="1"/>
    <xf numFmtId="164" fontId="26" fillId="3" borderId="14" xfId="1" applyNumberFormat="1" applyFont="1" applyFill="1" applyBorder="1" applyAlignment="1">
      <alignment horizontal="center" vertical="center" wrapText="1"/>
    </xf>
    <xf numFmtId="0" fontId="9" fillId="0" borderId="0" xfId="0" applyFont="1" applyBorder="1" applyAlignment="1">
      <alignment horizontal="center" vertical="center" wrapText="1"/>
    </xf>
    <xf numFmtId="0" fontId="50" fillId="3" borderId="0" xfId="0" applyFont="1" applyFill="1" applyAlignment="1">
      <alignment horizontal="left"/>
    </xf>
    <xf numFmtId="0" fontId="50" fillId="3" borderId="0" xfId="0" applyFont="1" applyFill="1"/>
    <xf numFmtId="0" fontId="51" fillId="3" borderId="0" xfId="0" applyFont="1" applyFill="1"/>
    <xf numFmtId="0" fontId="52" fillId="3" borderId="0" xfId="0" applyFont="1" applyFill="1"/>
    <xf numFmtId="0" fontId="0" fillId="0" borderId="11" xfId="0" applyFont="1" applyBorder="1" applyAlignment="1">
      <alignment horizontal="left" wrapText="1" indent="1"/>
    </xf>
    <xf numFmtId="164" fontId="17" fillId="0" borderId="11" xfId="1" applyNumberFormat="1" applyFont="1" applyFill="1" applyBorder="1" applyAlignment="1">
      <alignment vertical="center" wrapText="1"/>
    </xf>
    <xf numFmtId="164" fontId="17" fillId="0" borderId="2" xfId="1" applyNumberFormat="1" applyFont="1" applyBorder="1"/>
    <xf numFmtId="164" fontId="17" fillId="0" borderId="11" xfId="1" applyNumberFormat="1" applyFont="1" applyBorder="1"/>
    <xf numFmtId="0" fontId="17" fillId="0" borderId="10" xfId="0" applyFont="1" applyBorder="1"/>
    <xf numFmtId="164" fontId="17" fillId="0" borderId="10" xfId="1" applyNumberFormat="1" applyFont="1" applyBorder="1" applyAlignment="1">
      <alignment horizontal="center" vertical="center"/>
    </xf>
    <xf numFmtId="164" fontId="17" fillId="0" borderId="11" xfId="1" applyNumberFormat="1" applyFont="1" applyBorder="1" applyAlignment="1">
      <alignment vertical="center" wrapText="1"/>
    </xf>
    <xf numFmtId="0" fontId="0" fillId="0" borderId="11" xfId="0" applyFont="1" applyBorder="1" applyAlignment="1">
      <alignment horizontal="left" vertical="center" wrapText="1" indent="1"/>
    </xf>
    <xf numFmtId="0" fontId="9" fillId="0" borderId="0" xfId="0" applyFont="1" applyFill="1" applyAlignment="1">
      <alignment horizontal="left" indent="1"/>
    </xf>
    <xf numFmtId="164" fontId="38" fillId="0" borderId="0" xfId="1" applyNumberFormat="1" applyFont="1" applyFill="1"/>
    <xf numFmtId="43" fontId="0" fillId="0" borderId="0" xfId="1" applyFont="1" applyFill="1" applyAlignment="1"/>
    <xf numFmtId="0" fontId="9" fillId="0" borderId="0" xfId="0" applyFont="1" applyAlignment="1">
      <alignment horizontal="center"/>
    </xf>
    <xf numFmtId="43" fontId="0" fillId="7" borderId="10" xfId="1" applyFont="1" applyFill="1" applyBorder="1" applyAlignment="1">
      <alignment vertical="center" wrapText="1"/>
    </xf>
    <xf numFmtId="43" fontId="10" fillId="0" borderId="10" xfId="1" applyFont="1" applyBorder="1"/>
    <xf numFmtId="0" fontId="17" fillId="0" borderId="11" xfId="0" applyFont="1" applyFill="1" applyBorder="1" applyAlignment="1">
      <alignment horizontal="left" vertical="center" wrapText="1" indent="1"/>
    </xf>
    <xf numFmtId="43" fontId="0" fillId="8" borderId="0" xfId="1" applyFont="1" applyFill="1"/>
    <xf numFmtId="164" fontId="38" fillId="2" borderId="0" xfId="1" applyNumberFormat="1" applyFont="1" applyFill="1"/>
    <xf numFmtId="164" fontId="38" fillId="0" borderId="0" xfId="1" applyNumberFormat="1" applyFont="1"/>
    <xf numFmtId="164" fontId="14" fillId="0" borderId="0" xfId="0" applyNumberFormat="1" applyFont="1" applyFill="1"/>
    <xf numFmtId="3" fontId="0" fillId="0" borderId="11" xfId="0" applyNumberFormat="1" applyFont="1" applyBorder="1"/>
    <xf numFmtId="164" fontId="0" fillId="0" borderId="15" xfId="1" applyNumberFormat="1" applyFont="1" applyFill="1" applyBorder="1" applyAlignment="1">
      <alignment horizontal="right" indent="1"/>
    </xf>
    <xf numFmtId="169" fontId="14" fillId="0" borderId="0" xfId="3" applyNumberFormat="1" applyFont="1" applyFill="1" applyAlignment="1">
      <alignment horizontal="center"/>
    </xf>
    <xf numFmtId="39" fontId="38" fillId="0" borderId="0" xfId="1" applyNumberFormat="1" applyFont="1" applyFill="1" applyAlignment="1">
      <alignment horizontal="center"/>
    </xf>
    <xf numFmtId="165" fontId="0" fillId="0" borderId="0" xfId="1" applyNumberFormat="1" applyFont="1" applyBorder="1" applyAlignment="1">
      <alignment horizontal="left" indent="6"/>
    </xf>
    <xf numFmtId="39" fontId="14" fillId="0" borderId="0" xfId="1" applyNumberFormat="1" applyFont="1" applyAlignment="1">
      <alignment horizontal="center"/>
    </xf>
    <xf numFmtId="0" fontId="9" fillId="0" borderId="0" xfId="0" applyFont="1" applyFill="1"/>
    <xf numFmtId="164" fontId="0" fillId="0" borderId="10" xfId="1" applyNumberFormat="1" applyFont="1" applyBorder="1" applyAlignment="1">
      <alignment horizontal="right"/>
    </xf>
    <xf numFmtId="164" fontId="0" fillId="0" borderId="13" xfId="1" applyNumberFormat="1" applyFont="1" applyBorder="1" applyAlignment="1">
      <alignment horizontal="center"/>
    </xf>
    <xf numFmtId="43" fontId="9" fillId="0" borderId="0" xfId="1" applyFont="1"/>
    <xf numFmtId="43" fontId="9" fillId="0" borderId="0" xfId="1" applyFont="1" applyBorder="1" applyAlignment="1">
      <alignment horizontal="center" vertical="center"/>
    </xf>
    <xf numFmtId="164" fontId="0" fillId="3" borderId="11" xfId="1" applyNumberFormat="1" applyFont="1" applyFill="1" applyBorder="1" applyAlignment="1">
      <alignment horizontal="center" vertical="center" wrapText="1"/>
    </xf>
    <xf numFmtId="164" fontId="0" fillId="0" borderId="2" xfId="0" applyNumberFormat="1" applyBorder="1"/>
    <xf numFmtId="164" fontId="10" fillId="0" borderId="0" xfId="1" applyNumberFormat="1" applyFont="1"/>
    <xf numFmtId="164" fontId="0" fillId="3" borderId="0" xfId="1" applyNumberFormat="1" applyFont="1" applyFill="1"/>
    <xf numFmtId="168" fontId="18" fillId="0" borderId="0" xfId="0" applyNumberFormat="1" applyFont="1" applyAlignment="1">
      <alignment horizontal="center" vertical="center"/>
    </xf>
    <xf numFmtId="43" fontId="0" fillId="0" borderId="0" xfId="1" applyFont="1" applyAlignment="1">
      <alignment vertical="center" wrapText="1"/>
    </xf>
    <xf numFmtId="0" fontId="10" fillId="0" borderId="10" xfId="0" applyFont="1" applyBorder="1" applyAlignment="1">
      <alignment horizontal="right"/>
    </xf>
    <xf numFmtId="6" fontId="10" fillId="0" borderId="10" xfId="0" applyNumberFormat="1" applyFont="1" applyBorder="1"/>
    <xf numFmtId="6" fontId="44" fillId="2" borderId="10" xfId="0" applyNumberFormat="1" applyFont="1" applyFill="1" applyBorder="1"/>
    <xf numFmtId="0" fontId="44" fillId="2" borderId="10" xfId="0" applyFont="1" applyFill="1" applyBorder="1"/>
    <xf numFmtId="8" fontId="10" fillId="0" borderId="10" xfId="0" applyNumberFormat="1" applyFont="1" applyBorder="1"/>
    <xf numFmtId="0" fontId="26" fillId="0" borderId="0" xfId="0" applyFont="1"/>
    <xf numFmtId="43" fontId="0" fillId="0" borderId="0" xfId="1" applyFont="1" applyFill="1" applyAlignment="1">
      <alignment vertical="center"/>
    </xf>
    <xf numFmtId="43" fontId="14" fillId="0" borderId="0" xfId="1" applyFont="1" applyFill="1"/>
    <xf numFmtId="39" fontId="14" fillId="0" borderId="0" xfId="1" applyNumberFormat="1" applyFont="1" applyFill="1" applyAlignment="1">
      <alignment horizontal="center"/>
    </xf>
    <xf numFmtId="43" fontId="0" fillId="9" borderId="0" xfId="1" applyFont="1" applyFill="1" applyAlignment="1">
      <alignment horizontal="left" indent="2"/>
    </xf>
    <xf numFmtId="0" fontId="39" fillId="0" borderId="0" xfId="0" applyFont="1" applyAlignment="1">
      <alignment horizontal="center" vertical="center"/>
    </xf>
    <xf numFmtId="0" fontId="9" fillId="0" borderId="0" xfId="0" applyFont="1" applyAlignment="1">
      <alignment horizontal="center"/>
    </xf>
    <xf numFmtId="167" fontId="23" fillId="0" borderId="0" xfId="0" applyNumberFormat="1" applyFont="1" applyAlignment="1">
      <alignment horizontal="center"/>
    </xf>
    <xf numFmtId="168" fontId="18" fillId="0" borderId="0" xfId="0" applyNumberFormat="1" applyFont="1" applyAlignment="1">
      <alignment horizontal="center" vertical="center"/>
    </xf>
    <xf numFmtId="0" fontId="18" fillId="0" borderId="0" xfId="0" applyFont="1" applyAlignment="1">
      <alignment horizontal="center" vertical="center"/>
    </xf>
    <xf numFmtId="43" fontId="12" fillId="0" borderId="0" xfId="1" applyFont="1" applyAlignment="1">
      <alignment horizontal="center"/>
    </xf>
    <xf numFmtId="165" fontId="16" fillId="0" borderId="0" xfId="1" applyNumberFormat="1" applyFont="1" applyBorder="1" applyAlignment="1">
      <alignment horizontal="center"/>
    </xf>
    <xf numFmtId="43" fontId="0" fillId="0" borderId="5" xfId="1" applyFont="1" applyBorder="1" applyAlignment="1">
      <alignment horizontal="center" vertical="center"/>
    </xf>
    <xf numFmtId="43" fontId="0" fillId="0" borderId="3" xfId="1" applyFont="1" applyBorder="1" applyAlignment="1">
      <alignment horizontal="center" vertical="center"/>
    </xf>
    <xf numFmtId="43" fontId="35" fillId="0" borderId="0" xfId="1" applyFont="1" applyAlignment="1">
      <alignment horizontal="center"/>
    </xf>
    <xf numFmtId="43" fontId="12" fillId="0" borderId="8" xfId="1" applyFont="1" applyBorder="1" applyAlignment="1">
      <alignment horizontal="center"/>
    </xf>
    <xf numFmtId="43" fontId="12" fillId="0" borderId="7" xfId="1" applyFont="1" applyBorder="1" applyAlignment="1">
      <alignment horizontal="center"/>
    </xf>
    <xf numFmtId="43" fontId="9" fillId="2" borderId="13" xfId="1" applyFont="1" applyFill="1" applyBorder="1" applyAlignment="1">
      <alignment horizontal="center"/>
    </xf>
    <xf numFmtId="43" fontId="9" fillId="2" borderId="12" xfId="1" applyFont="1" applyFill="1" applyBorder="1" applyAlignment="1">
      <alignment horizontal="center"/>
    </xf>
    <xf numFmtId="164" fontId="8" fillId="3" borderId="15" xfId="1" applyNumberFormat="1" applyFont="1" applyFill="1" applyBorder="1" applyAlignment="1">
      <alignment horizontal="center" vertical="center" wrapText="1"/>
    </xf>
    <xf numFmtId="164" fontId="8" fillId="3" borderId="11" xfId="1" applyNumberFormat="1" applyFont="1" applyFill="1" applyBorder="1" applyAlignment="1">
      <alignment horizontal="center" vertical="center" wrapText="1"/>
    </xf>
    <xf numFmtId="0" fontId="42" fillId="0" borderId="8" xfId="18" applyFont="1" applyBorder="1" applyAlignment="1">
      <alignment horizontal="center" wrapText="1"/>
    </xf>
    <xf numFmtId="0" fontId="42" fillId="0" borderId="0" xfId="18" applyFont="1" applyAlignment="1">
      <alignment horizontal="center" wrapText="1"/>
    </xf>
    <xf numFmtId="0" fontId="26" fillId="3" borderId="15"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0" fillId="6" borderId="15" xfId="0" applyFont="1" applyFill="1" applyBorder="1" applyAlignment="1">
      <alignment horizontal="center" vertical="center" wrapText="1"/>
    </xf>
    <xf numFmtId="0" fontId="0" fillId="6" borderId="11" xfId="0" applyFont="1" applyFill="1" applyBorder="1" applyAlignment="1">
      <alignment horizontal="center" vertical="center" wrapText="1"/>
    </xf>
    <xf numFmtId="164" fontId="0" fillId="0" borderId="15" xfId="1" applyNumberFormat="1" applyFont="1" applyBorder="1" applyAlignment="1">
      <alignment horizontal="center" vertical="center"/>
    </xf>
    <xf numFmtId="164" fontId="0" fillId="0" borderId="11" xfId="1" applyNumberFormat="1" applyFont="1" applyBorder="1" applyAlignment="1">
      <alignment horizontal="center" vertical="center"/>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3" fillId="0" borderId="15" xfId="0" applyFont="1" applyBorder="1" applyAlignment="1">
      <alignment horizontal="center" vertical="center" wrapText="1"/>
    </xf>
    <xf numFmtId="0" fontId="23" fillId="0" borderId="11" xfId="0" applyFont="1" applyBorder="1" applyAlignment="1">
      <alignment horizontal="center" vertical="center" wrapText="1"/>
    </xf>
    <xf numFmtId="0" fontId="0" fillId="3" borderId="15"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11" xfId="0" applyFill="1" applyBorder="1" applyAlignment="1">
      <alignment horizontal="center" vertical="center" wrapText="1"/>
    </xf>
    <xf numFmtId="164" fontId="26" fillId="3" borderId="15" xfId="1" applyNumberFormat="1" applyFont="1" applyFill="1" applyBorder="1" applyAlignment="1">
      <alignment horizontal="center" vertical="center" wrapText="1"/>
    </xf>
    <xf numFmtId="164" fontId="26" fillId="3" borderId="14" xfId="1" applyNumberFormat="1" applyFont="1" applyFill="1" applyBorder="1" applyAlignment="1">
      <alignment horizontal="center" vertical="center" wrapText="1"/>
    </xf>
    <xf numFmtId="164" fontId="26" fillId="3" borderId="11" xfId="1" applyNumberFormat="1" applyFont="1" applyFill="1" applyBorder="1" applyAlignment="1">
      <alignment horizontal="center" vertical="center" wrapText="1"/>
    </xf>
    <xf numFmtId="164" fontId="0" fillId="3" borderId="15" xfId="1" applyNumberFormat="1"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Border="1" applyAlignment="1">
      <alignment horizontal="center" vertical="center" wrapText="1"/>
    </xf>
    <xf numFmtId="164" fontId="0" fillId="3" borderId="11" xfId="1" applyNumberFormat="1" applyFont="1" applyFill="1" applyBorder="1" applyAlignment="1">
      <alignment horizontal="center" vertical="center" wrapText="1"/>
    </xf>
    <xf numFmtId="43" fontId="13" fillId="0" borderId="14" xfId="1" applyFont="1" applyBorder="1" applyAlignment="1">
      <alignment horizontal="center" vertical="center" wrapText="1"/>
    </xf>
    <xf numFmtId="43" fontId="13" fillId="0" borderId="11" xfId="1" applyFont="1" applyBorder="1" applyAlignment="1">
      <alignment horizontal="center" vertical="center" wrapText="1"/>
    </xf>
    <xf numFmtId="0" fontId="41" fillId="6" borderId="13" xfId="18" applyFont="1" applyFill="1" applyBorder="1" applyAlignment="1">
      <alignment horizontal="center" vertical="center" wrapText="1"/>
    </xf>
    <xf numFmtId="0" fontId="41" fillId="6" borderId="25" xfId="18" applyFont="1" applyFill="1" applyBorder="1" applyAlignment="1">
      <alignment horizontal="center" vertical="center" wrapText="1"/>
    </xf>
    <xf numFmtId="0" fontId="41" fillId="6" borderId="12" xfId="18" applyFont="1" applyFill="1" applyBorder="1" applyAlignment="1">
      <alignment horizontal="center" vertical="center" wrapText="1"/>
    </xf>
    <xf numFmtId="164" fontId="11" fillId="2" borderId="9" xfId="1" applyNumberFormat="1" applyFont="1" applyFill="1" applyBorder="1" applyAlignment="1">
      <alignment horizontal="center" vertical="center" wrapText="1"/>
    </xf>
    <xf numFmtId="164" fontId="11" fillId="2" borderId="7" xfId="1" applyNumberFormat="1" applyFont="1" applyFill="1" applyBorder="1" applyAlignment="1">
      <alignment horizontal="center" vertical="center" wrapText="1"/>
    </xf>
    <xf numFmtId="164" fontId="11" fillId="2" borderId="5" xfId="1" applyNumberFormat="1" applyFont="1" applyFill="1" applyBorder="1" applyAlignment="1">
      <alignment horizontal="center" vertical="center" wrapText="1"/>
    </xf>
    <xf numFmtId="164" fontId="11" fillId="2" borderId="6" xfId="1" applyNumberFormat="1" applyFont="1" applyFill="1" applyBorder="1" applyAlignment="1">
      <alignment horizontal="center" vertical="center" wrapText="1"/>
    </xf>
    <xf numFmtId="164" fontId="11" fillId="2" borderId="3" xfId="1" applyNumberFormat="1" applyFont="1" applyFill="1" applyBorder="1" applyAlignment="1">
      <alignment horizontal="center" vertical="center" wrapText="1"/>
    </xf>
    <xf numFmtId="164" fontId="11" fillId="2" borderId="4" xfId="1" applyNumberFormat="1" applyFont="1" applyFill="1" applyBorder="1" applyAlignment="1">
      <alignment horizontal="center" vertical="center" wrapText="1"/>
    </xf>
    <xf numFmtId="164" fontId="26" fillId="3" borderId="28" xfId="1" applyNumberFormat="1" applyFont="1" applyFill="1" applyBorder="1" applyAlignment="1">
      <alignment horizontal="center" vertical="center" wrapText="1"/>
    </xf>
    <xf numFmtId="164" fontId="9" fillId="3" borderId="29" xfId="1" applyNumberFormat="1" applyFont="1" applyFill="1" applyBorder="1" applyAlignment="1">
      <alignment horizontal="center" vertical="center" wrapText="1"/>
    </xf>
    <xf numFmtId="164" fontId="26" fillId="0" borderId="9" xfId="1" applyNumberFormat="1" applyFont="1" applyBorder="1" applyAlignment="1">
      <alignment horizontal="center" vertical="center" wrapText="1"/>
    </xf>
    <xf numFmtId="164" fontId="26" fillId="0" borderId="7" xfId="1" applyNumberFormat="1" applyFont="1" applyBorder="1" applyAlignment="1">
      <alignment horizontal="center" vertical="center" wrapText="1"/>
    </xf>
    <xf numFmtId="164" fontId="26" fillId="0" borderId="3" xfId="1" applyNumberFormat="1" applyFont="1" applyBorder="1" applyAlignment="1">
      <alignment horizontal="center" vertical="center" wrapText="1"/>
    </xf>
    <xf numFmtId="164" fontId="26" fillId="0" borderId="4" xfId="1" applyNumberFormat="1" applyFont="1" applyBorder="1" applyAlignment="1">
      <alignment horizontal="center" vertical="center" wrapText="1"/>
    </xf>
  </cellXfs>
  <cellStyles count="20">
    <cellStyle name="Comma" xfId="1" builtinId="3"/>
    <cellStyle name="Comma 2" xfId="4"/>
    <cellStyle name="Comma 2 2" xfId="6"/>
    <cellStyle name="Comma 2 2 2" xfId="12"/>
    <cellStyle name="Comma 2 3" xfId="8"/>
    <cellStyle name="Comma 2 4" xfId="11"/>
    <cellStyle name="Comma 3" xfId="10"/>
    <cellStyle name="Comma 3 2" xfId="16"/>
    <cellStyle name="Currency" xfId="2" builtinId="4"/>
    <cellStyle name="Currency 2" xfId="9"/>
    <cellStyle name="Currency 2 2" xfId="15"/>
    <cellStyle name="Currency 3" xfId="19"/>
    <cellStyle name="Normal" xfId="0" builtinId="0"/>
    <cellStyle name="Normal 2" xfId="5"/>
    <cellStyle name="Normal 3" xfId="7"/>
    <cellStyle name="Normal 3 2" xfId="13"/>
    <cellStyle name="Normal 4" xfId="14"/>
    <cellStyle name="Normal 5" xfId="17"/>
    <cellStyle name="Normal 6" xfId="18"/>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731044</xdr:colOff>
      <xdr:row>1</xdr:row>
      <xdr:rowOff>80963</xdr:rowOff>
    </xdr:from>
    <xdr:to>
      <xdr:col>5</xdr:col>
      <xdr:colOff>34290</xdr:colOff>
      <xdr:row>8</xdr:row>
      <xdr:rowOff>83344</xdr:rowOff>
    </xdr:to>
    <xdr:grpSp>
      <xdr:nvGrpSpPr>
        <xdr:cNvPr id="2" name="Group 1">
          <a:extLst>
            <a:ext uri="{FF2B5EF4-FFF2-40B4-BE49-F238E27FC236}">
              <a16:creationId xmlns:a16="http://schemas.microsoft.com/office/drawing/2014/main" id="{0067ED7C-AB35-434E-9ECA-3E91231DECBE}"/>
            </a:ext>
          </a:extLst>
        </xdr:cNvPr>
        <xdr:cNvGrpSpPr>
          <a:grpSpLocks/>
        </xdr:cNvGrpSpPr>
      </xdr:nvGrpSpPr>
      <xdr:grpSpPr bwMode="auto">
        <a:xfrm>
          <a:off x="731044" y="247651"/>
          <a:ext cx="7220902" cy="1288256"/>
          <a:chOff x="581" y="504"/>
          <a:chExt cx="10959" cy="2160"/>
        </a:xfrm>
      </xdr:grpSpPr>
      <xdr:grpSp>
        <xdr:nvGrpSpPr>
          <xdr:cNvPr id="3" name="Group 2">
            <a:extLst>
              <a:ext uri="{FF2B5EF4-FFF2-40B4-BE49-F238E27FC236}">
                <a16:creationId xmlns:a16="http://schemas.microsoft.com/office/drawing/2014/main" id="{877B9ED6-8B4A-4135-B120-716C1988E0DD}"/>
              </a:ext>
            </a:extLst>
          </xdr:cNvPr>
          <xdr:cNvGrpSpPr>
            <a:grpSpLocks/>
          </xdr:cNvGrpSpPr>
        </xdr:nvGrpSpPr>
        <xdr:grpSpPr bwMode="auto">
          <a:xfrm>
            <a:off x="600" y="2169"/>
            <a:ext cx="10920" cy="2"/>
            <a:chOff x="600" y="2169"/>
            <a:chExt cx="10920" cy="2"/>
          </a:xfrm>
        </xdr:grpSpPr>
        <xdr:sp macro="" textlink="">
          <xdr:nvSpPr>
            <xdr:cNvPr id="7" name="Freeform 3">
              <a:extLst>
                <a:ext uri="{FF2B5EF4-FFF2-40B4-BE49-F238E27FC236}">
                  <a16:creationId xmlns:a16="http://schemas.microsoft.com/office/drawing/2014/main" id="{5013640D-045D-47DF-8744-044E15575B75}"/>
                </a:ext>
              </a:extLst>
            </xdr:cNvPr>
            <xdr:cNvSpPr>
              <a:spLocks/>
            </xdr:cNvSpPr>
          </xdr:nvSpPr>
          <xdr:spPr bwMode="auto">
            <a:xfrm>
              <a:off x="600" y="2169"/>
              <a:ext cx="10920" cy="2"/>
            </a:xfrm>
            <a:custGeom>
              <a:avLst/>
              <a:gdLst>
                <a:gd name="T0" fmla="+- 0 600 600"/>
                <a:gd name="T1" fmla="*/ T0 w 10920"/>
                <a:gd name="T2" fmla="+- 0 11520 600"/>
                <a:gd name="T3" fmla="*/ T2 w 10920"/>
              </a:gdLst>
              <a:ahLst/>
              <a:cxnLst>
                <a:cxn ang="0">
                  <a:pos x="T1" y="0"/>
                </a:cxn>
                <a:cxn ang="0">
                  <a:pos x="T3" y="0"/>
                </a:cxn>
              </a:cxnLst>
              <a:rect l="0" t="0" r="r" b="b"/>
              <a:pathLst>
                <a:path w="10920">
                  <a:moveTo>
                    <a:pt x="0" y="0"/>
                  </a:moveTo>
                  <a:lnTo>
                    <a:pt x="10920" y="0"/>
                  </a:lnTo>
                </a:path>
              </a:pathLst>
            </a:custGeom>
            <a:noFill/>
            <a:ln w="24498">
              <a:solidFill>
                <a:srgbClr val="231F2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grpSp>
      <xdr:grpSp>
        <xdr:nvGrpSpPr>
          <xdr:cNvPr id="4" name="Group 3">
            <a:extLst>
              <a:ext uri="{FF2B5EF4-FFF2-40B4-BE49-F238E27FC236}">
                <a16:creationId xmlns:a16="http://schemas.microsoft.com/office/drawing/2014/main" id="{8E155E70-2C57-498C-9AE3-5EFFB9EEF48E}"/>
              </a:ext>
            </a:extLst>
          </xdr:cNvPr>
          <xdr:cNvGrpSpPr>
            <a:grpSpLocks/>
          </xdr:cNvGrpSpPr>
        </xdr:nvGrpSpPr>
        <xdr:grpSpPr bwMode="auto">
          <a:xfrm>
            <a:off x="600" y="2206"/>
            <a:ext cx="10920" cy="2"/>
            <a:chOff x="600" y="2206"/>
            <a:chExt cx="10920" cy="2"/>
          </a:xfrm>
        </xdr:grpSpPr>
        <xdr:sp macro="" textlink="">
          <xdr:nvSpPr>
            <xdr:cNvPr id="5" name="Freeform 5">
              <a:extLst>
                <a:ext uri="{FF2B5EF4-FFF2-40B4-BE49-F238E27FC236}">
                  <a16:creationId xmlns:a16="http://schemas.microsoft.com/office/drawing/2014/main" id="{745B585C-9DD5-40A2-8C83-52630EF63FDD}"/>
                </a:ext>
              </a:extLst>
            </xdr:cNvPr>
            <xdr:cNvSpPr>
              <a:spLocks/>
            </xdr:cNvSpPr>
          </xdr:nvSpPr>
          <xdr:spPr bwMode="auto">
            <a:xfrm>
              <a:off x="600" y="2206"/>
              <a:ext cx="10920" cy="2"/>
            </a:xfrm>
            <a:custGeom>
              <a:avLst/>
              <a:gdLst>
                <a:gd name="T0" fmla="+- 0 600 600"/>
                <a:gd name="T1" fmla="*/ T0 w 10920"/>
                <a:gd name="T2" fmla="+- 0 11520 600"/>
                <a:gd name="T3" fmla="*/ T2 w 10920"/>
              </a:gdLst>
              <a:ahLst/>
              <a:cxnLst>
                <a:cxn ang="0">
                  <a:pos x="T1" y="0"/>
                </a:cxn>
                <a:cxn ang="0">
                  <a:pos x="T3" y="0"/>
                </a:cxn>
              </a:cxnLst>
              <a:rect l="0" t="0" r="r" b="b"/>
              <a:pathLst>
                <a:path w="10920">
                  <a:moveTo>
                    <a:pt x="0" y="0"/>
                  </a:moveTo>
                  <a:lnTo>
                    <a:pt x="10920" y="0"/>
                  </a:lnTo>
                </a:path>
              </a:pathLst>
            </a:custGeom>
            <a:noFill/>
            <a:ln w="5447">
              <a:solidFill>
                <a:srgbClr val="231F2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pic>
          <xdr:nvPicPr>
            <xdr:cNvPr id="6" name="Picture 5">
              <a:extLst>
                <a:ext uri="{FF2B5EF4-FFF2-40B4-BE49-F238E27FC236}">
                  <a16:creationId xmlns:a16="http://schemas.microsoft.com/office/drawing/2014/main" id="{99CF422D-3C02-46B1-974A-8E57BF32B0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0" y="504"/>
              <a:ext cx="2160" cy="216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323851</xdr:colOff>
      <xdr:row>0</xdr:row>
      <xdr:rowOff>133350</xdr:rowOff>
    </xdr:from>
    <xdr:to>
      <xdr:col>8</xdr:col>
      <xdr:colOff>0</xdr:colOff>
      <xdr:row>2</xdr:row>
      <xdr:rowOff>57150</xdr:rowOff>
    </xdr:to>
    <xdr:sp macro="" textlink="">
      <xdr:nvSpPr>
        <xdr:cNvPr id="2" name="TextBox 1">
          <a:extLst>
            <a:ext uri="{FF2B5EF4-FFF2-40B4-BE49-F238E27FC236}">
              <a16:creationId xmlns:a16="http://schemas.microsoft.com/office/drawing/2014/main" id="{31E2CC56-4E75-4A8A-8F8B-79DD7B43AAE5}"/>
            </a:ext>
          </a:extLst>
        </xdr:cNvPr>
        <xdr:cNvSpPr txBox="1"/>
      </xdr:nvSpPr>
      <xdr:spPr>
        <a:xfrm>
          <a:off x="323851" y="133350"/>
          <a:ext cx="7639049"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500">
              <a:latin typeface="Times New Roman" pitchFamily="18" charset="0"/>
              <a:cs typeface="Times New Roman" pitchFamily="18" charset="0"/>
            </a:rPr>
            <a:t>Town of Swanzey</a:t>
          </a:r>
          <a:r>
            <a:rPr lang="en-US" sz="1500" baseline="0">
              <a:latin typeface="Times New Roman" pitchFamily="18" charset="0"/>
              <a:cs typeface="Times New Roman" pitchFamily="18" charset="0"/>
            </a:rPr>
            <a:t> DPW Fleet 2020</a:t>
          </a:r>
          <a:endParaRPr lang="en-US" sz="1500">
            <a:latin typeface="Times New Roman" pitchFamily="18" charset="0"/>
            <a:cs typeface="Times New Roman"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323851</xdr:colOff>
      <xdr:row>0</xdr:row>
      <xdr:rowOff>133350</xdr:rowOff>
    </xdr:from>
    <xdr:to>
      <xdr:col>8</xdr:col>
      <xdr:colOff>0</xdr:colOff>
      <xdr:row>2</xdr:row>
      <xdr:rowOff>57150</xdr:rowOff>
    </xdr:to>
    <xdr:sp macro="" textlink="">
      <xdr:nvSpPr>
        <xdr:cNvPr id="2" name="TextBox 1">
          <a:extLst>
            <a:ext uri="{FF2B5EF4-FFF2-40B4-BE49-F238E27FC236}">
              <a16:creationId xmlns:a16="http://schemas.microsoft.com/office/drawing/2014/main" id="{0DCA170A-6B77-4146-AC19-8BA21BFB488A}"/>
            </a:ext>
          </a:extLst>
        </xdr:cNvPr>
        <xdr:cNvSpPr txBox="1"/>
      </xdr:nvSpPr>
      <xdr:spPr>
        <a:xfrm>
          <a:off x="323851" y="133350"/>
          <a:ext cx="7600949"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500">
              <a:latin typeface="Times New Roman" pitchFamily="18" charset="0"/>
              <a:cs typeface="Times New Roman" pitchFamily="18" charset="0"/>
            </a:rPr>
            <a:t>Town of Swanzey </a:t>
          </a:r>
          <a:r>
            <a:rPr lang="en-US" sz="1500" baseline="0">
              <a:latin typeface="Times New Roman" pitchFamily="18" charset="0"/>
              <a:cs typeface="Times New Roman" pitchFamily="18" charset="0"/>
            </a:rPr>
            <a:t>Fire Department Fleet 2020</a:t>
          </a:r>
          <a:endParaRPr lang="en-US" sz="1500">
            <a:latin typeface="Times New Roman" pitchFamily="18" charset="0"/>
            <a:cs typeface="Times New Roman"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323851</xdr:colOff>
      <xdr:row>0</xdr:row>
      <xdr:rowOff>133350</xdr:rowOff>
    </xdr:from>
    <xdr:to>
      <xdr:col>8</xdr:col>
      <xdr:colOff>0</xdr:colOff>
      <xdr:row>2</xdr:row>
      <xdr:rowOff>57150</xdr:rowOff>
    </xdr:to>
    <xdr:sp macro="" textlink="">
      <xdr:nvSpPr>
        <xdr:cNvPr id="2" name="TextBox 1">
          <a:extLst>
            <a:ext uri="{FF2B5EF4-FFF2-40B4-BE49-F238E27FC236}">
              <a16:creationId xmlns:a16="http://schemas.microsoft.com/office/drawing/2014/main" id="{EEA4025A-2D72-436E-8798-FC01DD552BC9}"/>
            </a:ext>
          </a:extLst>
        </xdr:cNvPr>
        <xdr:cNvSpPr txBox="1"/>
      </xdr:nvSpPr>
      <xdr:spPr>
        <a:xfrm>
          <a:off x="323851" y="133350"/>
          <a:ext cx="7820024"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500">
              <a:latin typeface="Times New Roman" pitchFamily="18" charset="0"/>
              <a:cs typeface="Times New Roman" pitchFamily="18" charset="0"/>
            </a:rPr>
            <a:t>Town of Swanzey</a:t>
          </a:r>
          <a:r>
            <a:rPr lang="en-US" sz="1500" baseline="0">
              <a:latin typeface="Times New Roman" pitchFamily="18" charset="0"/>
              <a:cs typeface="Times New Roman" pitchFamily="18" charset="0"/>
            </a:rPr>
            <a:t> Police Department Fleet 2020</a:t>
          </a:r>
          <a:endParaRPr lang="en-US" sz="1500">
            <a:latin typeface="Times New Roman" pitchFamily="18" charset="0"/>
            <a:cs typeface="Times New Roman"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view="pageBreakPreview" zoomScale="80" zoomScaleNormal="100" zoomScaleSheetLayoutView="80" workbookViewId="0">
      <selection activeCell="A21" sqref="A21:XFD22"/>
    </sheetView>
  </sheetViews>
  <sheetFormatPr defaultRowHeight="13.8" x14ac:dyDescent="0.3"/>
  <cols>
    <col min="1" max="1" width="50.6640625" style="24" customWidth="1"/>
    <col min="2" max="2" width="24.44140625" style="24" customWidth="1"/>
    <col min="3" max="3" width="25.44140625" customWidth="1"/>
    <col min="6" max="6" width="19.33203125" customWidth="1"/>
    <col min="7" max="7" width="5.6640625" customWidth="1"/>
    <col min="8" max="8" width="4.109375" customWidth="1"/>
    <col min="9" max="9" width="6.44140625" bestFit="1" customWidth="1"/>
    <col min="10" max="10" width="7.5546875" customWidth="1"/>
    <col min="11" max="11" width="8.5546875" customWidth="1"/>
    <col min="12" max="12" width="9.88671875" bestFit="1" customWidth="1"/>
  </cols>
  <sheetData>
    <row r="1" spans="1:13" x14ac:dyDescent="0.3">
      <c r="A1" s="24" t="s">
        <v>716</v>
      </c>
    </row>
    <row r="2" spans="1:13" ht="22.8" x14ac:dyDescent="0.3">
      <c r="B2" s="126"/>
    </row>
    <row r="3" spans="1:13" x14ac:dyDescent="0.3">
      <c r="B3" s="127"/>
    </row>
    <row r="4" spans="1:13" x14ac:dyDescent="0.3">
      <c r="B4" s="127"/>
    </row>
    <row r="5" spans="1:13" x14ac:dyDescent="0.3">
      <c r="B5" s="127"/>
    </row>
    <row r="6" spans="1:13" x14ac:dyDescent="0.3">
      <c r="B6" s="127"/>
      <c r="C6" s="127"/>
    </row>
    <row r="7" spans="1:13" s="102" customFormat="1" x14ac:dyDescent="0.3">
      <c r="A7" s="24"/>
      <c r="B7" s="127"/>
      <c r="C7" s="127"/>
      <c r="I7"/>
    </row>
    <row r="8" spans="1:13" s="102" customFormat="1" x14ac:dyDescent="0.3">
      <c r="A8" s="24"/>
      <c r="B8" s="127"/>
      <c r="C8" s="127"/>
      <c r="I8"/>
    </row>
    <row r="9" spans="1:13" s="102" customFormat="1" x14ac:dyDescent="0.3">
      <c r="A9" s="24"/>
      <c r="B9" s="127"/>
      <c r="C9" s="127"/>
    </row>
    <row r="10" spans="1:13" s="102" customFormat="1" x14ac:dyDescent="0.3">
      <c r="A10" s="24"/>
      <c r="B10" s="127"/>
      <c r="C10" s="127"/>
    </row>
    <row r="11" spans="1:13" s="102" customFormat="1" x14ac:dyDescent="0.3">
      <c r="A11" s="24"/>
      <c r="B11" s="127"/>
      <c r="C11" s="127"/>
    </row>
    <row r="12" spans="1:13" s="102" customFormat="1" x14ac:dyDescent="0.3">
      <c r="A12" s="24"/>
      <c r="B12" s="127"/>
      <c r="C12" s="127"/>
    </row>
    <row r="13" spans="1:13" ht="21" x14ac:dyDescent="0.3">
      <c r="A13" s="615" t="s">
        <v>49</v>
      </c>
      <c r="B13" s="615"/>
      <c r="C13" s="615"/>
      <c r="D13" s="615"/>
      <c r="E13" s="615"/>
      <c r="F13" s="615"/>
      <c r="G13" s="615"/>
      <c r="H13" s="615"/>
      <c r="I13" s="615"/>
    </row>
    <row r="15" spans="1:13" ht="21" x14ac:dyDescent="0.3">
      <c r="A15" s="615" t="s">
        <v>408</v>
      </c>
      <c r="B15" s="615"/>
      <c r="C15" s="615"/>
      <c r="D15" s="615"/>
      <c r="E15" s="615"/>
      <c r="F15" s="615"/>
      <c r="G15" s="615"/>
      <c r="H15" s="615"/>
      <c r="I15" s="615"/>
    </row>
    <row r="16" spans="1:13" ht="21" x14ac:dyDescent="0.3">
      <c r="A16" s="615" t="s">
        <v>50</v>
      </c>
      <c r="B16" s="615"/>
      <c r="C16" s="615"/>
      <c r="D16" s="615"/>
      <c r="E16" s="615"/>
      <c r="F16" s="615"/>
      <c r="G16" s="615"/>
      <c r="H16" s="615"/>
      <c r="I16" s="615"/>
      <c r="M16" s="319"/>
    </row>
    <row r="17" spans="1:16" ht="21" x14ac:dyDescent="0.4">
      <c r="C17" s="86"/>
      <c r="F17" s="87"/>
      <c r="M17" s="319"/>
    </row>
    <row r="18" spans="1:16" ht="21" x14ac:dyDescent="0.3">
      <c r="A18" s="614">
        <v>44200</v>
      </c>
      <c r="B18" s="614"/>
      <c r="C18" s="614"/>
      <c r="D18" s="614"/>
      <c r="E18" s="614"/>
      <c r="F18" s="614"/>
      <c r="G18" s="614"/>
      <c r="H18" s="614"/>
      <c r="I18" s="614"/>
      <c r="M18" s="319"/>
    </row>
    <row r="19" spans="1:16" ht="21" customHeight="1" x14ac:dyDescent="0.3">
      <c r="J19" s="319"/>
      <c r="K19" s="319"/>
      <c r="L19" s="319"/>
      <c r="M19" s="319"/>
    </row>
    <row r="20" spans="1:16" ht="28.8" x14ac:dyDescent="0.55000000000000004">
      <c r="A20" s="614" t="s">
        <v>776</v>
      </c>
      <c r="B20" s="614"/>
      <c r="C20" s="614"/>
      <c r="D20" s="614"/>
      <c r="E20" s="614"/>
      <c r="F20" s="614"/>
      <c r="G20" s="614"/>
      <c r="H20" s="395"/>
      <c r="I20" s="395"/>
      <c r="J20" s="319"/>
      <c r="K20" s="319"/>
      <c r="L20" s="319"/>
      <c r="M20" s="319"/>
      <c r="N20" s="319"/>
      <c r="O20" s="319"/>
      <c r="P20" s="319"/>
    </row>
    <row r="21" spans="1:16" s="319" customFormat="1" ht="28.8" x14ac:dyDescent="0.55000000000000004">
      <c r="A21" s="599"/>
      <c r="B21" s="599"/>
      <c r="C21" s="599"/>
      <c r="D21" s="599"/>
      <c r="E21" s="599"/>
      <c r="F21" s="599"/>
      <c r="G21" s="599"/>
      <c r="H21" s="395"/>
      <c r="I21" s="395"/>
    </row>
    <row r="22" spans="1:16" s="319" customFormat="1" ht="28.8" x14ac:dyDescent="0.55000000000000004">
      <c r="A22" s="599"/>
      <c r="B22" s="599"/>
      <c r="C22" s="599"/>
      <c r="D22" s="599"/>
      <c r="E22" s="599"/>
      <c r="F22" s="599"/>
      <c r="G22" s="599"/>
      <c r="H22" s="395"/>
      <c r="I22" s="395"/>
    </row>
    <row r="23" spans="1:16" ht="15.6" x14ac:dyDescent="0.3">
      <c r="A23" s="613"/>
      <c r="B23" s="613"/>
      <c r="C23" s="613"/>
      <c r="D23" s="613"/>
      <c r="E23" s="613"/>
      <c r="F23" s="613"/>
      <c r="G23" s="613"/>
      <c r="H23" s="613"/>
      <c r="I23" s="613"/>
      <c r="J23" s="319"/>
      <c r="K23" s="319"/>
      <c r="L23" s="319"/>
      <c r="M23" s="319"/>
      <c r="N23" s="319"/>
      <c r="O23" s="319"/>
      <c r="P23" s="319"/>
    </row>
    <row r="24" spans="1:16" s="102" customFormat="1" x14ac:dyDescent="0.3">
      <c r="A24" s="24"/>
      <c r="B24" s="611" t="s">
        <v>402</v>
      </c>
      <c r="C24" s="611"/>
      <c r="J24" s="319"/>
      <c r="K24" s="319"/>
      <c r="L24" s="319"/>
      <c r="M24" s="319"/>
      <c r="N24" s="319"/>
      <c r="O24" s="319"/>
      <c r="P24" s="319"/>
    </row>
    <row r="25" spans="1:16" s="319" customFormat="1" x14ac:dyDescent="0.3">
      <c r="A25" s="321"/>
      <c r="B25" s="394"/>
      <c r="C25" s="394"/>
    </row>
    <row r="26" spans="1:16" s="102" customFormat="1" x14ac:dyDescent="0.3">
      <c r="B26" s="612" t="s">
        <v>403</v>
      </c>
      <c r="C26" s="612"/>
      <c r="J26" s="319"/>
      <c r="K26" s="319"/>
      <c r="L26" s="319"/>
      <c r="M26" s="319"/>
      <c r="N26" s="319"/>
      <c r="O26" s="319"/>
      <c r="P26" s="319"/>
    </row>
    <row r="27" spans="1:16" s="102" customFormat="1" x14ac:dyDescent="0.3">
      <c r="B27" s="269" t="s">
        <v>404</v>
      </c>
      <c r="C27" s="269" t="s">
        <v>407</v>
      </c>
      <c r="J27" s="319"/>
      <c r="K27" s="319"/>
      <c r="L27" s="319"/>
      <c r="M27" s="319"/>
      <c r="N27" s="319"/>
      <c r="O27" s="319"/>
      <c r="P27" s="319"/>
    </row>
    <row r="28" spans="1:16" s="102" customFormat="1" x14ac:dyDescent="0.3">
      <c r="B28" s="269" t="s">
        <v>405</v>
      </c>
      <c r="C28" s="321" t="s">
        <v>733</v>
      </c>
      <c r="I28" s="232"/>
      <c r="J28" s="319"/>
      <c r="K28" s="319"/>
      <c r="L28" s="319"/>
      <c r="M28" s="319"/>
    </row>
    <row r="29" spans="1:16" s="102" customFormat="1" x14ac:dyDescent="0.3">
      <c r="B29" s="269" t="s">
        <v>406</v>
      </c>
      <c r="C29" s="321" t="s">
        <v>732</v>
      </c>
      <c r="J29" s="319"/>
      <c r="K29" s="319"/>
      <c r="L29" s="319"/>
      <c r="M29" s="319"/>
    </row>
    <row r="30" spans="1:16" s="102" customFormat="1" x14ac:dyDescent="0.3">
      <c r="B30" s="269"/>
      <c r="C30" s="321"/>
      <c r="I30" s="232"/>
      <c r="J30" s="319"/>
      <c r="K30" s="319"/>
      <c r="L30" s="319"/>
      <c r="M30" s="319"/>
    </row>
    <row r="31" spans="1:16" s="102" customFormat="1" x14ac:dyDescent="0.3">
      <c r="B31" s="393"/>
      <c r="J31" s="319"/>
      <c r="K31" s="319"/>
      <c r="L31" s="319"/>
      <c r="M31" s="319"/>
    </row>
    <row r="32" spans="1:16" s="102" customFormat="1" x14ac:dyDescent="0.3">
      <c r="A32" s="24"/>
      <c r="B32" s="393"/>
      <c r="J32" s="319"/>
      <c r="K32" s="319"/>
      <c r="L32" s="319"/>
      <c r="M32" s="319"/>
    </row>
    <row r="33" spans="1:13" s="102" customFormat="1" x14ac:dyDescent="0.3">
      <c r="A33" s="24"/>
      <c r="B33" s="103"/>
      <c r="J33" s="319"/>
      <c r="K33" s="319"/>
      <c r="L33" s="319"/>
      <c r="M33" s="319"/>
    </row>
    <row r="34" spans="1:13" s="102" customFormat="1" x14ac:dyDescent="0.3">
      <c r="A34" s="24"/>
      <c r="B34" s="103"/>
      <c r="C34" s="219"/>
      <c r="J34" s="319"/>
      <c r="K34" s="319"/>
      <c r="L34" s="319"/>
      <c r="M34" s="319"/>
    </row>
    <row r="35" spans="1:13" s="102" customFormat="1" x14ac:dyDescent="0.3">
      <c r="A35" s="24"/>
      <c r="B35" s="103"/>
      <c r="J35" s="319"/>
      <c r="K35" s="319"/>
      <c r="L35" s="319"/>
      <c r="M35" s="319"/>
    </row>
    <row r="36" spans="1:13" s="102" customFormat="1" x14ac:dyDescent="0.3">
      <c r="A36" s="24"/>
      <c r="B36" s="140"/>
      <c r="C36" s="127"/>
      <c r="J36" s="319"/>
      <c r="K36" s="319"/>
      <c r="L36" s="319"/>
      <c r="M36" s="319"/>
    </row>
    <row r="37" spans="1:13" s="102" customFormat="1" x14ac:dyDescent="0.3">
      <c r="A37" s="388"/>
      <c r="B37" s="103"/>
      <c r="C37" s="127"/>
      <c r="J37" s="319"/>
      <c r="K37" s="319"/>
      <c r="L37" s="319"/>
      <c r="M37" s="319"/>
    </row>
    <row r="38" spans="1:13" s="102" customFormat="1" x14ac:dyDescent="0.3">
      <c r="B38" s="103"/>
      <c r="C38" s="127"/>
    </row>
    <row r="39" spans="1:13" s="319" customFormat="1" x14ac:dyDescent="0.3">
      <c r="B39" s="103"/>
      <c r="C39" s="127"/>
    </row>
    <row r="40" spans="1:13" s="102" customFormat="1" x14ac:dyDescent="0.3">
      <c r="B40" s="103"/>
      <c r="C40" s="127"/>
    </row>
    <row r="41" spans="1:13" s="319" customFormat="1" x14ac:dyDescent="0.3">
      <c r="B41" s="103"/>
      <c r="C41" s="127"/>
    </row>
    <row r="42" spans="1:13" s="319" customFormat="1" x14ac:dyDescent="0.3">
      <c r="C42" s="127"/>
    </row>
    <row r="43" spans="1:13" s="319" customFormat="1" x14ac:dyDescent="0.3">
      <c r="B43" s="103"/>
      <c r="C43" s="127"/>
    </row>
    <row r="44" spans="1:13" s="319" customFormat="1" x14ac:dyDescent="0.3">
      <c r="B44" s="103"/>
      <c r="C44" s="127"/>
    </row>
    <row r="45" spans="1:13" s="319" customFormat="1" x14ac:dyDescent="0.3">
      <c r="B45" s="103"/>
      <c r="C45" s="127"/>
    </row>
    <row r="46" spans="1:13" s="319" customFormat="1" x14ac:dyDescent="0.3">
      <c r="B46" s="103"/>
      <c r="C46" s="127"/>
    </row>
    <row r="47" spans="1:13" s="319" customFormat="1" x14ac:dyDescent="0.3">
      <c r="B47" s="103"/>
      <c r="C47" s="127"/>
    </row>
    <row r="48" spans="1:13" s="319" customFormat="1" x14ac:dyDescent="0.3">
      <c r="C48" s="127"/>
    </row>
    <row r="49" spans="2:5" s="319" customFormat="1" x14ac:dyDescent="0.3">
      <c r="C49" s="127"/>
    </row>
    <row r="50" spans="2:5" s="319" customFormat="1" x14ac:dyDescent="0.3">
      <c r="B50" s="103"/>
      <c r="C50" s="127"/>
    </row>
    <row r="51" spans="2:5" s="319" customFormat="1" x14ac:dyDescent="0.3">
      <c r="B51" s="103"/>
      <c r="C51" s="127"/>
    </row>
    <row r="52" spans="2:5" ht="23.4" x14ac:dyDescent="0.45">
      <c r="C52" s="389"/>
      <c r="D52" s="389"/>
      <c r="E52" s="389"/>
    </row>
    <row r="53" spans="2:5" ht="23.4" x14ac:dyDescent="0.45">
      <c r="C53" s="389"/>
      <c r="D53" s="389"/>
      <c r="E53" s="389"/>
    </row>
  </sheetData>
  <mergeCells count="8">
    <mergeCell ref="B24:C24"/>
    <mergeCell ref="B26:C26"/>
    <mergeCell ref="A23:I23"/>
    <mergeCell ref="A18:I18"/>
    <mergeCell ref="A13:I13"/>
    <mergeCell ref="A15:I15"/>
    <mergeCell ref="A16:I16"/>
    <mergeCell ref="A20:G20"/>
  </mergeCells>
  <pageMargins left="0.7" right="0.7" top="0.75" bottom="0.75" header="0.3" footer="0.3"/>
  <pageSetup scale="95" orientation="landscape" r:id="rId1"/>
  <rowBreaks count="1" manualBreakCount="1">
    <brk id="33"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view="pageBreakPreview" topLeftCell="A9" zoomScale="110" zoomScaleNormal="100" zoomScaleSheetLayoutView="110" workbookViewId="0">
      <selection activeCell="Q22" sqref="Q22"/>
    </sheetView>
  </sheetViews>
  <sheetFormatPr defaultRowHeight="13.8" x14ac:dyDescent="0.3"/>
  <cols>
    <col min="1" max="1" width="3.44140625" style="103" customWidth="1"/>
    <col min="2" max="2" width="3.5546875" style="103" customWidth="1"/>
    <col min="3" max="3" width="3.33203125" customWidth="1"/>
    <col min="4" max="4" width="3.44140625" customWidth="1"/>
    <col min="8" max="8" width="21.6640625" customWidth="1"/>
    <col min="12" max="12" width="29.44140625" customWidth="1"/>
    <col min="14" max="14" width="12.44140625" bestFit="1" customWidth="1"/>
  </cols>
  <sheetData>
    <row r="1" spans="1:16" s="319" customFormat="1" ht="22.5" customHeight="1" x14ac:dyDescent="0.3">
      <c r="A1" s="103"/>
      <c r="B1" s="321" t="s">
        <v>381</v>
      </c>
    </row>
    <row r="2" spans="1:16" s="319" customFormat="1" x14ac:dyDescent="0.3">
      <c r="A2" s="103"/>
      <c r="C2" s="319" t="s">
        <v>779</v>
      </c>
      <c r="M2" s="324">
        <f>'2021 Cash Reserve Summary'!F49</f>
        <v>83000</v>
      </c>
      <c r="N2" s="382">
        <f>'2021 Cash Reserve Summary'!H49</f>
        <v>0.162109375</v>
      </c>
    </row>
    <row r="3" spans="1:16" s="319" customFormat="1" x14ac:dyDescent="0.3">
      <c r="A3" s="103"/>
      <c r="C3" s="319" t="s">
        <v>380</v>
      </c>
    </row>
    <row r="4" spans="1:16" s="319" customFormat="1" x14ac:dyDescent="0.3">
      <c r="A4" s="103"/>
      <c r="D4" s="319" t="s">
        <v>780</v>
      </c>
    </row>
    <row r="5" spans="1:16" s="319" customFormat="1" x14ac:dyDescent="0.3">
      <c r="A5" s="103"/>
      <c r="D5" s="319" t="s">
        <v>766</v>
      </c>
      <c r="M5" s="319">
        <f>'2021 Cash Reserve Summary'!J5</f>
        <v>50000</v>
      </c>
      <c r="N5" s="319">
        <f>'2021 Cash Reserve Summary'!F9</f>
        <v>50000</v>
      </c>
      <c r="O5" s="319">
        <f>'2021 Cash Reserve Summary'!F47</f>
        <v>-12000</v>
      </c>
      <c r="P5" s="319">
        <f>M5+O5</f>
        <v>38000</v>
      </c>
    </row>
    <row r="6" spans="1:16" s="326" customFormat="1" ht="19.5" customHeight="1" x14ac:dyDescent="0.3">
      <c r="A6" s="381"/>
      <c r="B6" s="392" t="s">
        <v>382</v>
      </c>
      <c r="C6" s="392"/>
      <c r="D6" s="392"/>
      <c r="E6" s="392"/>
      <c r="F6" s="392"/>
      <c r="G6" s="392"/>
      <c r="H6" s="392"/>
      <c r="M6" s="324"/>
    </row>
    <row r="7" spans="1:16" s="319" customFormat="1" x14ac:dyDescent="0.3">
      <c r="A7" s="103"/>
      <c r="B7" s="109"/>
      <c r="C7" s="109" t="s">
        <v>784</v>
      </c>
      <c r="D7" s="109"/>
      <c r="E7" s="109"/>
      <c r="F7" s="109"/>
      <c r="G7" s="109"/>
      <c r="H7" s="109"/>
      <c r="M7" s="180">
        <f>'7 Yr Summary'!D71-'7 Yr Summary'!C71</f>
        <v>110413.37415157707</v>
      </c>
      <c r="N7" s="98">
        <f>Comments!M7/'7 Yr Summary'!C71</f>
        <v>0.3512541781955012</v>
      </c>
    </row>
    <row r="8" spans="1:16" s="319" customFormat="1" x14ac:dyDescent="0.3">
      <c r="A8" s="103"/>
      <c r="B8" s="366"/>
      <c r="C8" s="109"/>
      <c r="D8" s="109" t="s">
        <v>783</v>
      </c>
      <c r="E8" s="109"/>
      <c r="F8" s="109"/>
      <c r="G8" s="109"/>
      <c r="H8" s="109"/>
      <c r="M8" s="324"/>
      <c r="N8" s="324">
        <f>'7 Yr Summary'!N65</f>
        <v>3000000</v>
      </c>
    </row>
    <row r="9" spans="1:16" s="319" customFormat="1" x14ac:dyDescent="0.3">
      <c r="A9" s="103"/>
      <c r="B9" s="366"/>
      <c r="C9" s="109"/>
      <c r="D9" s="109"/>
      <c r="E9" s="109" t="s">
        <v>747</v>
      </c>
      <c r="F9" s="109"/>
      <c r="G9" s="109"/>
      <c r="H9" s="109"/>
      <c r="M9" s="324"/>
    </row>
    <row r="10" spans="1:16" s="319" customFormat="1" x14ac:dyDescent="0.3">
      <c r="A10" s="103"/>
      <c r="B10" s="366"/>
      <c r="C10" s="109"/>
      <c r="D10" s="109" t="s">
        <v>785</v>
      </c>
      <c r="E10" s="109"/>
      <c r="F10" s="109"/>
      <c r="G10" s="109"/>
      <c r="H10" s="109"/>
      <c r="M10" s="324">
        <f>'7 Yr Summary'!D86</f>
        <v>-11685.239297567052</v>
      </c>
      <c r="N10" s="324">
        <f>'7 Yr Summary'!D71-'7 Yr Summary'!C71</f>
        <v>110413.37415157707</v>
      </c>
    </row>
    <row r="11" spans="1:16" s="319" customFormat="1" x14ac:dyDescent="0.3">
      <c r="A11" s="103"/>
      <c r="B11" s="366"/>
      <c r="C11" s="109" t="s">
        <v>383</v>
      </c>
      <c r="D11" s="109"/>
      <c r="E11" s="109"/>
      <c r="F11" s="109"/>
      <c r="G11" s="109"/>
      <c r="H11" s="109"/>
      <c r="M11" s="324"/>
    </row>
    <row r="12" spans="1:16" s="319" customFormat="1" x14ac:dyDescent="0.3">
      <c r="A12" s="103"/>
      <c r="B12" s="366"/>
      <c r="C12" s="109"/>
      <c r="D12" s="109" t="s">
        <v>728</v>
      </c>
      <c r="E12" s="109"/>
      <c r="F12" s="109"/>
      <c r="G12" s="109"/>
      <c r="M12" s="324"/>
    </row>
    <row r="13" spans="1:16" s="319" customFormat="1" x14ac:dyDescent="0.3">
      <c r="A13" s="103"/>
      <c r="B13" s="366"/>
      <c r="C13" s="109"/>
      <c r="D13" s="109" t="s">
        <v>786</v>
      </c>
      <c r="E13" s="109"/>
      <c r="F13" s="109"/>
      <c r="G13" s="109"/>
      <c r="M13" s="324">
        <f>'7 Yr Summary'!I71</f>
        <v>665797.51470576553</v>
      </c>
    </row>
    <row r="14" spans="1:16" s="319" customFormat="1" ht="18" customHeight="1" x14ac:dyDescent="0.3">
      <c r="A14" s="103"/>
      <c r="B14" s="392" t="s">
        <v>384</v>
      </c>
      <c r="C14" s="392"/>
      <c r="D14" s="392"/>
      <c r="E14" s="109"/>
      <c r="F14" s="109"/>
      <c r="G14" s="109"/>
      <c r="H14" s="109"/>
      <c r="M14" s="324"/>
    </row>
    <row r="15" spans="1:16" s="319" customFormat="1" x14ac:dyDescent="0.3">
      <c r="A15" s="103"/>
      <c r="B15" s="366"/>
      <c r="C15" s="109" t="s">
        <v>787</v>
      </c>
      <c r="D15" s="109"/>
      <c r="E15" s="109"/>
      <c r="F15" s="109"/>
      <c r="G15" s="109"/>
      <c r="H15" s="109"/>
      <c r="M15" s="324">
        <f>'7 Yr Summary'!D77</f>
        <v>193413.37415157713</v>
      </c>
      <c r="N15" s="382">
        <f>'7 Yr Summary'!D76</f>
        <v>0.23406017338555168</v>
      </c>
    </row>
    <row r="16" spans="1:16" s="319" customFormat="1" x14ac:dyDescent="0.3">
      <c r="A16" s="103"/>
      <c r="B16" s="366"/>
      <c r="C16" s="109" t="s">
        <v>788</v>
      </c>
      <c r="D16" s="109"/>
      <c r="E16" s="109"/>
      <c r="F16" s="109"/>
      <c r="G16" s="109"/>
      <c r="H16" s="109"/>
      <c r="M16" s="324">
        <f>'7 Yr Summary'!I73-'7 Yr Summary'!C73</f>
        <v>549457.1281549097</v>
      </c>
      <c r="N16" s="382">
        <f>M16/'7 Yr Summary'!C73</f>
        <v>0.6649283238452659</v>
      </c>
    </row>
    <row r="17" spans="1:15" s="319" customFormat="1" ht="18" customHeight="1" x14ac:dyDescent="0.3">
      <c r="A17" s="103"/>
      <c r="B17" s="590" t="s">
        <v>395</v>
      </c>
      <c r="C17" s="392"/>
      <c r="M17" s="324"/>
    </row>
    <row r="18" spans="1:15" s="319" customFormat="1" x14ac:dyDescent="0.3">
      <c r="A18" s="103"/>
      <c r="B18" s="103"/>
      <c r="C18" s="392" t="s">
        <v>767</v>
      </c>
      <c r="M18" s="464" t="s">
        <v>736</v>
      </c>
      <c r="N18" s="457"/>
    </row>
    <row r="19" spans="1:15" s="319" customFormat="1" x14ac:dyDescent="0.3">
      <c r="A19" s="103"/>
      <c r="B19" s="103"/>
      <c r="C19" s="319" t="s">
        <v>725</v>
      </c>
      <c r="M19" s="323"/>
      <c r="N19" s="44">
        <v>2019</v>
      </c>
      <c r="O19" s="44">
        <v>2020</v>
      </c>
    </row>
    <row r="20" spans="1:15" s="319" customFormat="1" x14ac:dyDescent="0.3">
      <c r="A20" s="103"/>
      <c r="B20" s="103"/>
      <c r="D20" s="319" t="s">
        <v>724</v>
      </c>
      <c r="M20" s="323" t="s">
        <v>737</v>
      </c>
      <c r="N20" s="77">
        <v>5.8</v>
      </c>
      <c r="O20" s="77">
        <v>6.22</v>
      </c>
    </row>
    <row r="21" spans="1:15" s="319" customFormat="1" x14ac:dyDescent="0.3">
      <c r="A21" s="103"/>
      <c r="B21" s="103"/>
      <c r="C21" s="319" t="s">
        <v>730</v>
      </c>
      <c r="M21" s="323" t="s">
        <v>1</v>
      </c>
      <c r="N21" s="77">
        <v>25.76</v>
      </c>
      <c r="O21" s="77">
        <v>25.68</v>
      </c>
    </row>
    <row r="22" spans="1:15" s="319" customFormat="1" x14ac:dyDescent="0.3">
      <c r="A22" s="103"/>
      <c r="B22" s="103"/>
      <c r="D22" s="319" t="s">
        <v>731</v>
      </c>
      <c r="M22" s="324"/>
    </row>
    <row r="23" spans="1:15" s="319" customFormat="1" x14ac:dyDescent="0.3">
      <c r="A23" s="103"/>
      <c r="B23" s="103"/>
      <c r="E23" s="319" t="s">
        <v>729</v>
      </c>
      <c r="M23" s="324"/>
    </row>
    <row r="24" spans="1:15" s="319" customFormat="1" x14ac:dyDescent="0.3">
      <c r="A24" s="103"/>
      <c r="B24" s="103"/>
      <c r="E24" s="319" t="s">
        <v>765</v>
      </c>
      <c r="M24" s="324"/>
    </row>
    <row r="25" spans="1:15" s="319" customFormat="1" x14ac:dyDescent="0.3">
      <c r="A25" s="103"/>
      <c r="B25" s="103"/>
      <c r="F25" s="606" t="s">
        <v>782</v>
      </c>
      <c r="G25" s="606"/>
      <c r="H25" s="606"/>
      <c r="M25" s="324"/>
    </row>
    <row r="26" spans="1:15" s="319" customFormat="1" x14ac:dyDescent="0.3">
      <c r="A26" s="103"/>
      <c r="B26" s="103"/>
      <c r="C26" s="319" t="s">
        <v>379</v>
      </c>
      <c r="M26" s="324"/>
    </row>
    <row r="27" spans="1:15" s="319" customFormat="1" x14ac:dyDescent="0.3">
      <c r="A27" s="103"/>
      <c r="B27" s="103"/>
      <c r="D27" s="319" t="s">
        <v>726</v>
      </c>
      <c r="M27" s="324"/>
    </row>
    <row r="28" spans="1:15" s="319" customFormat="1" x14ac:dyDescent="0.3">
      <c r="A28" s="103"/>
      <c r="B28" s="103"/>
      <c r="D28" s="319" t="s">
        <v>722</v>
      </c>
      <c r="M28" s="324"/>
    </row>
    <row r="29" spans="1:15" s="319" customFormat="1" x14ac:dyDescent="0.3">
      <c r="A29" s="103"/>
      <c r="B29" s="103"/>
      <c r="D29" s="319" t="s">
        <v>401</v>
      </c>
      <c r="M29" s="324"/>
    </row>
    <row r="30" spans="1:15" s="319" customFormat="1" x14ac:dyDescent="0.3">
      <c r="A30" s="103"/>
      <c r="B30" s="103"/>
      <c r="D30" s="319" t="s">
        <v>723</v>
      </c>
      <c r="M30" s="324"/>
    </row>
    <row r="31" spans="1:15" s="319" customFormat="1" x14ac:dyDescent="0.3">
      <c r="A31" s="103"/>
      <c r="B31" s="103"/>
      <c r="D31" s="319" t="s">
        <v>398</v>
      </c>
      <c r="M31" s="324"/>
    </row>
    <row r="32" spans="1:15" s="319" customFormat="1" x14ac:dyDescent="0.3">
      <c r="A32" s="52"/>
      <c r="B32" s="103"/>
      <c r="D32" s="102" t="s">
        <v>400</v>
      </c>
      <c r="M32" s="324"/>
    </row>
    <row r="33" spans="1:18" x14ac:dyDescent="0.3">
      <c r="A33" s="52"/>
      <c r="C33" s="102"/>
      <c r="D33" s="319"/>
      <c r="E33" s="102"/>
    </row>
    <row r="34" spans="1:18" x14ac:dyDescent="0.3">
      <c r="A34" s="52"/>
      <c r="C34" s="102"/>
      <c r="E34" s="102"/>
    </row>
    <row r="35" spans="1:18" ht="14.4" x14ac:dyDescent="0.3">
      <c r="A35" s="52"/>
      <c r="B35" s="141"/>
      <c r="C35" s="142"/>
      <c r="D35" s="102"/>
      <c r="E35" s="102"/>
      <c r="F35" s="102"/>
      <c r="G35" s="102"/>
    </row>
    <row r="36" spans="1:18" s="102" customFormat="1" ht="14.4" x14ac:dyDescent="0.3">
      <c r="A36" s="52"/>
      <c r="C36" s="142"/>
      <c r="M36"/>
      <c r="N36"/>
      <c r="O36"/>
      <c r="P36"/>
      <c r="Q36"/>
      <c r="R36"/>
    </row>
    <row r="37" spans="1:18" s="102" customFormat="1" x14ac:dyDescent="0.3">
      <c r="A37" s="52"/>
      <c r="B37" s="103"/>
      <c r="M37"/>
      <c r="N37"/>
      <c r="O37"/>
      <c r="P37"/>
      <c r="Q37"/>
      <c r="R37"/>
    </row>
    <row r="38" spans="1:18" x14ac:dyDescent="0.3">
      <c r="A38" s="52"/>
      <c r="C38" s="102"/>
      <c r="M38" s="102"/>
      <c r="Q38" s="102"/>
      <c r="R38" s="102"/>
    </row>
    <row r="39" spans="1:18" x14ac:dyDescent="0.3">
      <c r="A39" s="4"/>
      <c r="C39" s="102"/>
      <c r="M39" s="102"/>
      <c r="Q39" s="102"/>
      <c r="R39" s="102"/>
    </row>
    <row r="40" spans="1:18" ht="18" x14ac:dyDescent="0.35">
      <c r="A40" s="52"/>
      <c r="G40" s="342"/>
    </row>
    <row r="41" spans="1:18" x14ac:dyDescent="0.3">
      <c r="A41" s="52"/>
      <c r="D41" s="37"/>
      <c r="E41" s="102"/>
    </row>
    <row r="42" spans="1:18" x14ac:dyDescent="0.3">
      <c r="A42" s="52"/>
      <c r="C42" s="102"/>
      <c r="N42" s="102"/>
      <c r="O42" s="319"/>
      <c r="P42" s="102"/>
    </row>
    <row r="43" spans="1:18" x14ac:dyDescent="0.3">
      <c r="A43" s="4"/>
      <c r="E43" s="37"/>
      <c r="P43" s="102"/>
    </row>
    <row r="44" spans="1:18" x14ac:dyDescent="0.3">
      <c r="A44" s="52"/>
      <c r="C44" s="102"/>
      <c r="H44" s="102"/>
      <c r="I44" s="102"/>
    </row>
    <row r="45" spans="1:18" x14ac:dyDescent="0.3">
      <c r="A45" s="52"/>
      <c r="C45" s="37"/>
      <c r="N45" s="102"/>
    </row>
    <row r="46" spans="1:18" x14ac:dyDescent="0.3">
      <c r="A46" s="52"/>
      <c r="C46" s="102"/>
    </row>
    <row r="47" spans="1:18" x14ac:dyDescent="0.3">
      <c r="A47" s="52"/>
    </row>
    <row r="48" spans="1:18" x14ac:dyDescent="0.3">
      <c r="A48" s="52"/>
    </row>
    <row r="49" spans="1:9" x14ac:dyDescent="0.3">
      <c r="A49" s="4"/>
      <c r="F49" s="102"/>
      <c r="G49" s="102"/>
      <c r="H49" s="102"/>
      <c r="I49" s="102"/>
    </row>
    <row r="50" spans="1:9" x14ac:dyDescent="0.3">
      <c r="D50" s="102"/>
      <c r="E50" s="102"/>
    </row>
  </sheetData>
  <pageMargins left="0.7" right="0.7" top="0.75" bottom="0.75" header="0.3" footer="0.3"/>
  <pageSetup scale="105" orientation="landscape" r:id="rId1"/>
  <headerFooter>
    <oddHeader>&amp;L
&amp;C&amp;"-,Bold"&amp;12CIPC - 2021 BUDGET
COMMENTS</oddHeader>
    <oddFooter xml:space="preserve">&amp;L&amp;A&amp;R&amp;P of &amp;N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1"/>
  <sheetViews>
    <sheetView view="pageBreakPreview" zoomScale="90" zoomScaleNormal="100" zoomScaleSheetLayoutView="90" workbookViewId="0">
      <selection activeCell="E58" sqref="E58"/>
    </sheetView>
  </sheetViews>
  <sheetFormatPr defaultRowHeight="13.8" x14ac:dyDescent="0.3"/>
  <cols>
    <col min="1" max="1" width="3.5546875" style="103" customWidth="1"/>
    <col min="2" max="2" width="23.44140625" customWidth="1"/>
    <col min="3" max="3" width="11" bestFit="1" customWidth="1"/>
    <col min="4" max="4" width="10.33203125" customWidth="1"/>
    <col min="5" max="5" width="11.5546875" bestFit="1" customWidth="1"/>
    <col min="6" max="6" width="10.88671875" bestFit="1" customWidth="1"/>
    <col min="7" max="7" width="2" customWidth="1"/>
    <col min="8" max="8" width="9.6640625" customWidth="1"/>
    <col min="9" max="9" width="33.33203125" customWidth="1"/>
    <col min="10" max="10" width="11.5546875" style="324" bestFit="1" customWidth="1"/>
    <col min="11" max="11" width="9.109375" bestFit="1" customWidth="1"/>
    <col min="12" max="12" width="4.88671875" bestFit="1" customWidth="1"/>
    <col min="13" max="13" width="5.88671875" customWidth="1"/>
    <col min="14" max="14" width="6.109375" customWidth="1"/>
    <col min="22" max="22" width="12.33203125" customWidth="1"/>
  </cols>
  <sheetData>
    <row r="1" spans="1:21" x14ac:dyDescent="0.3">
      <c r="A1" s="103" t="s">
        <v>716</v>
      </c>
    </row>
    <row r="2" spans="1:21" ht="15.6" x14ac:dyDescent="0.45">
      <c r="B2" s="102"/>
      <c r="C2" s="4" t="s">
        <v>192</v>
      </c>
      <c r="D2" s="616" t="s">
        <v>16</v>
      </c>
      <c r="E2" s="616"/>
      <c r="F2" s="616"/>
      <c r="G2" s="102"/>
      <c r="H2" s="575" t="s">
        <v>695</v>
      </c>
      <c r="I2" s="575"/>
    </row>
    <row r="3" spans="1:21" x14ac:dyDescent="0.3">
      <c r="B3" s="102"/>
      <c r="C3" s="52" t="s">
        <v>98</v>
      </c>
      <c r="D3" s="52" t="s">
        <v>22</v>
      </c>
      <c r="E3" s="617">
        <v>2021</v>
      </c>
      <c r="F3" s="617"/>
      <c r="G3" s="81"/>
      <c r="H3" s="103"/>
      <c r="I3" s="103"/>
    </row>
    <row r="4" spans="1:21" ht="15.6" x14ac:dyDescent="0.45">
      <c r="A4" s="616" t="s">
        <v>21</v>
      </c>
      <c r="B4" s="616"/>
      <c r="C4" s="68">
        <v>44196</v>
      </c>
      <c r="D4" s="51">
        <v>2020</v>
      </c>
      <c r="E4" s="104" t="s">
        <v>23</v>
      </c>
      <c r="F4" s="104" t="s">
        <v>46</v>
      </c>
      <c r="G4" s="102"/>
      <c r="H4" s="616" t="s">
        <v>25</v>
      </c>
      <c r="I4" s="616"/>
    </row>
    <row r="5" spans="1:21" x14ac:dyDescent="0.3">
      <c r="A5" s="471" t="s">
        <v>87</v>
      </c>
      <c r="B5" s="469"/>
      <c r="H5" s="471" t="s">
        <v>764</v>
      </c>
      <c r="I5" s="469"/>
      <c r="J5" s="324">
        <f>SUM(F6:F13)</f>
        <v>50000</v>
      </c>
      <c r="N5" s="319"/>
      <c r="O5" s="319"/>
      <c r="P5" s="319"/>
      <c r="Q5" s="319"/>
      <c r="R5" s="319"/>
      <c r="S5" s="319"/>
      <c r="T5" s="319"/>
      <c r="U5" s="319"/>
    </row>
    <row r="6" spans="1:21" x14ac:dyDescent="0.3">
      <c r="B6" t="s">
        <v>88</v>
      </c>
      <c r="C6" s="4">
        <f>'DPW-CEM Equip'!C25</f>
        <v>419000</v>
      </c>
      <c r="D6" s="4">
        <f>'DPW-CEM Equip'!C23</f>
        <v>160000</v>
      </c>
      <c r="E6" s="4">
        <f>'DPW-CEM Equip'!C27</f>
        <v>150000</v>
      </c>
      <c r="F6" s="70">
        <f>E6-D6</f>
        <v>-10000</v>
      </c>
      <c r="G6" s="70"/>
      <c r="H6" s="366"/>
      <c r="I6" s="109"/>
      <c r="N6" s="319"/>
      <c r="O6" s="319"/>
      <c r="P6" s="319"/>
      <c r="Q6" s="319"/>
      <c r="R6" s="319"/>
      <c r="S6" s="319"/>
      <c r="T6" s="319"/>
      <c r="U6" s="319"/>
    </row>
    <row r="7" spans="1:21" x14ac:dyDescent="0.3">
      <c r="B7" t="s">
        <v>89</v>
      </c>
      <c r="C7" s="4">
        <f>'DPW Facilities'!C16</f>
        <v>98000</v>
      </c>
      <c r="D7" s="4">
        <f>'DPW Facilities'!C14</f>
        <v>0</v>
      </c>
      <c r="E7" s="4">
        <f>'DPW Facilities'!C18</f>
        <v>0</v>
      </c>
      <c r="F7" s="70">
        <f>E7-D7</f>
        <v>0</v>
      </c>
      <c r="G7" s="70"/>
      <c r="H7" s="366"/>
      <c r="I7" s="109"/>
      <c r="N7" s="319"/>
      <c r="O7" s="319"/>
      <c r="P7" s="319"/>
      <c r="Q7" s="319"/>
      <c r="R7" s="319"/>
      <c r="S7" s="319"/>
      <c r="T7" s="319"/>
      <c r="U7" s="319"/>
    </row>
    <row r="8" spans="1:21" s="102" customFormat="1" x14ac:dyDescent="0.3">
      <c r="A8" s="103"/>
      <c r="B8" s="102" t="s">
        <v>144</v>
      </c>
      <c r="C8" s="4">
        <f>'Cemetery Expansion'!C18</f>
        <v>70000</v>
      </c>
      <c r="D8" s="4">
        <v>0</v>
      </c>
      <c r="E8" s="4">
        <f>'Cemetery Expansion'!C19</f>
        <v>0</v>
      </c>
      <c r="F8" s="70">
        <f>E8-D8</f>
        <v>0</v>
      </c>
      <c r="G8" s="70"/>
      <c r="H8" s="366"/>
      <c r="I8" s="109"/>
      <c r="J8" s="324"/>
      <c r="N8" s="319"/>
      <c r="O8" s="319"/>
      <c r="P8" s="319"/>
      <c r="Q8" s="319"/>
      <c r="R8" s="319"/>
      <c r="S8" s="319"/>
      <c r="T8" s="319"/>
      <c r="U8" s="319"/>
    </row>
    <row r="9" spans="1:21" ht="15.6" x14ac:dyDescent="0.45">
      <c r="B9" s="469" t="s">
        <v>90</v>
      </c>
      <c r="C9" s="470">
        <f>'DPW Road Rehab'!C22</f>
        <v>298000</v>
      </c>
      <c r="D9" s="470">
        <f>'DPW Road Rehab'!C20</f>
        <v>150000</v>
      </c>
      <c r="E9" s="470">
        <f>'DPW Road Rehab'!C24</f>
        <v>200000</v>
      </c>
      <c r="F9" s="470">
        <f>E9-D9</f>
        <v>50000</v>
      </c>
      <c r="G9" s="70"/>
      <c r="H9" s="471" t="s">
        <v>511</v>
      </c>
      <c r="I9" s="469"/>
      <c r="K9" s="616"/>
      <c r="L9" s="616"/>
      <c r="N9" s="319"/>
      <c r="O9" s="319"/>
      <c r="P9" s="319"/>
      <c r="Q9" s="319"/>
      <c r="R9" s="319"/>
      <c r="S9" s="319"/>
      <c r="T9" s="319"/>
      <c r="U9" s="319"/>
    </row>
    <row r="10" spans="1:21" x14ac:dyDescent="0.3">
      <c r="B10" t="s">
        <v>91</v>
      </c>
      <c r="C10" s="4">
        <f>'DPW Muni Trans &amp; Snow SW Fd'!C15</f>
        <v>258000</v>
      </c>
      <c r="D10" s="4">
        <v>0</v>
      </c>
      <c r="E10" s="4">
        <v>0</v>
      </c>
      <c r="F10" s="70">
        <f t="shared" ref="F10:F11" si="0">E10-D10</f>
        <v>0</v>
      </c>
      <c r="G10" s="70"/>
      <c r="H10" s="366"/>
      <c r="I10" s="109"/>
      <c r="N10" s="319"/>
      <c r="O10" s="319"/>
      <c r="P10" s="319"/>
      <c r="Q10" s="319"/>
      <c r="R10" s="319"/>
      <c r="S10" s="319"/>
      <c r="T10" s="319"/>
      <c r="U10" s="319"/>
    </row>
    <row r="11" spans="1:21" s="319" customFormat="1" x14ac:dyDescent="0.3">
      <c r="A11" s="103"/>
      <c r="B11" s="319" t="s">
        <v>326</v>
      </c>
      <c r="C11" s="324">
        <v>0</v>
      </c>
      <c r="D11" s="324">
        <v>0</v>
      </c>
      <c r="E11" s="324">
        <f>'DPW Sidewalks'!C18</f>
        <v>10000</v>
      </c>
      <c r="F11" s="70">
        <f t="shared" si="0"/>
        <v>10000</v>
      </c>
      <c r="G11" s="70"/>
      <c r="H11" s="366" t="s">
        <v>641</v>
      </c>
      <c r="I11" s="109"/>
      <c r="J11" s="324"/>
    </row>
    <row r="12" spans="1:21" x14ac:dyDescent="0.3">
      <c r="B12" t="s">
        <v>26</v>
      </c>
      <c r="C12" s="4">
        <f>'DPW Town Dams'!C15</f>
        <v>158000</v>
      </c>
      <c r="D12" s="4">
        <f>'DPW Town Dams'!C13</f>
        <v>10000</v>
      </c>
      <c r="E12" s="4">
        <f>'DPW Town Dams'!C16</f>
        <v>10000</v>
      </c>
      <c r="F12" s="70">
        <f t="shared" ref="F12:F37" si="1">E12-D12</f>
        <v>0</v>
      </c>
      <c r="G12" s="70"/>
      <c r="H12" s="366"/>
      <c r="I12" s="109"/>
      <c r="N12" s="319"/>
      <c r="O12" s="319"/>
      <c r="P12" s="319"/>
      <c r="Q12" s="319"/>
      <c r="R12" s="319"/>
      <c r="S12" s="319"/>
      <c r="T12" s="319"/>
      <c r="U12" s="319"/>
    </row>
    <row r="13" spans="1:21" x14ac:dyDescent="0.3">
      <c r="B13" s="469" t="s">
        <v>61</v>
      </c>
      <c r="C13" s="470">
        <f>'DPW Bridges'!C16</f>
        <v>104000</v>
      </c>
      <c r="D13" s="470">
        <f>'DPW Bridges'!C14</f>
        <v>40000</v>
      </c>
      <c r="E13" s="470">
        <f>'DPW Bridges'!C18</f>
        <v>40000</v>
      </c>
      <c r="F13" s="470">
        <f t="shared" si="1"/>
        <v>0</v>
      </c>
      <c r="G13" s="70"/>
      <c r="H13" s="366"/>
      <c r="I13" s="109"/>
      <c r="N13" s="319"/>
      <c r="O13" s="319"/>
      <c r="P13" s="319"/>
      <c r="Q13" s="319"/>
      <c r="R13" s="319"/>
      <c r="S13" s="319"/>
      <c r="T13" s="319"/>
      <c r="U13" s="319"/>
    </row>
    <row r="14" spans="1:21" x14ac:dyDescent="0.3">
      <c r="B14" t="s">
        <v>27</v>
      </c>
      <c r="C14" s="4">
        <f>'DPW Covered Br'!C18</f>
        <v>95000</v>
      </c>
      <c r="D14" s="4">
        <f>'DPW Covered Br'!C16</f>
        <v>5000</v>
      </c>
      <c r="E14" s="4">
        <f>'DPW Covered Br'!C19</f>
        <v>5000</v>
      </c>
      <c r="F14" s="70">
        <f t="shared" si="1"/>
        <v>0</v>
      </c>
      <c r="G14" s="70"/>
      <c r="H14" s="366"/>
      <c r="I14" s="109"/>
      <c r="N14" s="319"/>
      <c r="O14" s="319"/>
      <c r="P14" s="319"/>
      <c r="Q14" s="319"/>
      <c r="R14" s="319"/>
      <c r="S14" s="319"/>
      <c r="T14" s="319"/>
      <c r="U14" s="319"/>
    </row>
    <row r="15" spans="1:21" s="102" customFormat="1" x14ac:dyDescent="0.3">
      <c r="A15" s="103" t="s">
        <v>105</v>
      </c>
      <c r="B15"/>
      <c r="C15" s="4"/>
      <c r="D15" s="4"/>
      <c r="E15" s="4"/>
      <c r="F15" s="70"/>
      <c r="G15" s="70"/>
      <c r="H15" s="366"/>
      <c r="I15" s="109"/>
      <c r="J15" s="324"/>
      <c r="N15" s="319"/>
      <c r="O15" s="319"/>
      <c r="P15" s="319"/>
      <c r="Q15" s="319"/>
      <c r="R15" s="319"/>
      <c r="S15" s="319"/>
      <c r="T15" s="319"/>
      <c r="U15" s="319"/>
    </row>
    <row r="16" spans="1:21" s="102" customFormat="1" x14ac:dyDescent="0.3">
      <c r="A16" s="103"/>
      <c r="B16" t="s">
        <v>89</v>
      </c>
      <c r="C16" s="4">
        <f>'EM Fac &amp; Com'!C23</f>
        <v>42000</v>
      </c>
      <c r="D16" s="4">
        <v>0</v>
      </c>
      <c r="E16" s="4">
        <v>0</v>
      </c>
      <c r="F16" s="70">
        <f>E16-D16</f>
        <v>0</v>
      </c>
      <c r="G16" s="70"/>
      <c r="H16" s="366"/>
      <c r="I16" s="109"/>
      <c r="J16" s="324"/>
      <c r="N16" s="319"/>
      <c r="O16" s="319"/>
      <c r="P16" s="319"/>
      <c r="Q16" s="319"/>
      <c r="R16" s="319"/>
      <c r="S16" s="319"/>
      <c r="T16" s="319"/>
      <c r="U16" s="319"/>
    </row>
    <row r="17" spans="1:21" s="102" customFormat="1" x14ac:dyDescent="0.3">
      <c r="A17" s="103"/>
      <c r="B17" t="s">
        <v>106</v>
      </c>
      <c r="C17" s="4">
        <f>'EM Fac &amp; Com'!C28</f>
        <v>109000</v>
      </c>
      <c r="D17" s="4">
        <v>5000</v>
      </c>
      <c r="E17" s="4">
        <f>'EM Fac &amp; Com'!C30</f>
        <v>10000</v>
      </c>
      <c r="F17" s="70">
        <f>E17-D17</f>
        <v>5000</v>
      </c>
      <c r="G17" s="70"/>
      <c r="H17" s="366"/>
      <c r="I17" s="109"/>
      <c r="J17" s="324"/>
      <c r="N17" s="319"/>
      <c r="O17" s="319"/>
      <c r="P17" s="319"/>
      <c r="Q17" s="319"/>
      <c r="R17" s="319"/>
      <c r="S17" s="319"/>
      <c r="T17" s="319"/>
      <c r="U17" s="319"/>
    </row>
    <row r="18" spans="1:21" x14ac:dyDescent="0.3">
      <c r="A18" s="471" t="s">
        <v>92</v>
      </c>
      <c r="B18" s="469"/>
      <c r="C18" s="4"/>
      <c r="D18" s="4"/>
      <c r="E18" s="4"/>
      <c r="F18" s="70"/>
      <c r="G18" s="70"/>
      <c r="H18" s="471" t="s">
        <v>781</v>
      </c>
      <c r="I18" s="469"/>
      <c r="J18" s="324">
        <f>SUM(F19:F24)</f>
        <v>-5000</v>
      </c>
      <c r="N18" s="319"/>
      <c r="O18" s="319"/>
      <c r="P18" s="319"/>
      <c r="Q18" s="319"/>
      <c r="R18" s="319"/>
      <c r="S18" s="319"/>
      <c r="T18" s="319"/>
      <c r="U18" s="319"/>
    </row>
    <row r="19" spans="1:21" x14ac:dyDescent="0.3">
      <c r="B19" t="s">
        <v>94</v>
      </c>
      <c r="C19" s="4">
        <f>'Fire Trucks'!C20</f>
        <v>198000</v>
      </c>
      <c r="D19" s="4">
        <v>5000</v>
      </c>
      <c r="E19" s="4">
        <f>'Fire Trucks'!C23</f>
        <v>5000</v>
      </c>
      <c r="F19" s="70">
        <f t="shared" si="1"/>
        <v>0</v>
      </c>
      <c r="G19" s="70"/>
      <c r="H19" s="366"/>
      <c r="I19" s="109"/>
      <c r="N19" s="319"/>
      <c r="O19" s="319"/>
      <c r="P19" s="319"/>
      <c r="Q19" s="319"/>
      <c r="R19" s="319"/>
      <c r="S19" s="319"/>
      <c r="T19" s="319"/>
      <c r="U19" s="319"/>
    </row>
    <row r="20" spans="1:21" s="319" customFormat="1" x14ac:dyDescent="0.3">
      <c r="B20" s="109" t="s">
        <v>762</v>
      </c>
      <c r="C20" s="324">
        <v>0</v>
      </c>
      <c r="D20" s="324">
        <v>0</v>
      </c>
      <c r="E20" s="324">
        <v>0</v>
      </c>
      <c r="F20" s="70">
        <f t="shared" si="1"/>
        <v>0</v>
      </c>
      <c r="G20" s="70"/>
      <c r="H20" s="366"/>
      <c r="I20" s="109"/>
      <c r="J20" s="324"/>
    </row>
    <row r="21" spans="1:21" x14ac:dyDescent="0.3">
      <c r="B21" s="109" t="s">
        <v>95</v>
      </c>
      <c r="C21" s="70">
        <f>'Fire Ponds'!C17</f>
        <v>53000</v>
      </c>
      <c r="D21" s="70">
        <f>'Fire Ponds'!C15</f>
        <v>25000</v>
      </c>
      <c r="E21" s="70">
        <f>'Fire Ponds'!C19</f>
        <v>20000</v>
      </c>
      <c r="F21" s="70">
        <f t="shared" si="1"/>
        <v>-5000</v>
      </c>
      <c r="G21" s="70"/>
      <c r="H21" s="366"/>
      <c r="I21" s="109"/>
      <c r="N21" s="319"/>
      <c r="O21" s="319"/>
      <c r="P21" s="319"/>
      <c r="Q21" s="319"/>
      <c r="R21" s="319"/>
      <c r="S21" s="319"/>
      <c r="T21" s="319"/>
      <c r="U21" s="319"/>
    </row>
    <row r="22" spans="1:21" x14ac:dyDescent="0.3">
      <c r="B22" t="s">
        <v>96</v>
      </c>
      <c r="C22" s="4">
        <f>'Fire Tools'!C18</f>
        <v>63000</v>
      </c>
      <c r="D22" s="4">
        <f>'Fire Tools'!C16</f>
        <v>20000</v>
      </c>
      <c r="E22" s="4">
        <f>'Fire Tools'!C20</f>
        <v>10000</v>
      </c>
      <c r="F22" s="70">
        <f t="shared" si="1"/>
        <v>-10000</v>
      </c>
      <c r="G22" s="70"/>
      <c r="H22" s="366"/>
      <c r="I22" s="109"/>
      <c r="N22" s="319"/>
      <c r="O22" s="319"/>
      <c r="P22" s="319"/>
      <c r="Q22" s="319"/>
      <c r="R22" s="319"/>
      <c r="S22" s="319"/>
      <c r="T22" s="319"/>
      <c r="U22" s="319"/>
    </row>
    <row r="23" spans="1:21" x14ac:dyDescent="0.3">
      <c r="B23" t="s">
        <v>97</v>
      </c>
      <c r="C23" s="4">
        <f>' Fire Sta. Maint ET'!C20</f>
        <v>16000</v>
      </c>
      <c r="D23" s="4">
        <v>0</v>
      </c>
      <c r="E23" s="4">
        <f>' Fire Sta. Maint ET'!C21</f>
        <v>0</v>
      </c>
      <c r="F23" s="70">
        <f t="shared" si="1"/>
        <v>0</v>
      </c>
      <c r="G23" s="70"/>
      <c r="H23" s="366"/>
      <c r="I23" s="109"/>
      <c r="N23" s="319"/>
      <c r="O23" s="319"/>
      <c r="P23" s="319"/>
      <c r="Q23" s="319"/>
      <c r="R23" s="319"/>
      <c r="S23" s="319"/>
      <c r="T23" s="319"/>
      <c r="U23" s="319"/>
    </row>
    <row r="24" spans="1:21" s="102" customFormat="1" x14ac:dyDescent="0.3">
      <c r="A24" s="103"/>
      <c r="B24" s="102" t="s">
        <v>176</v>
      </c>
      <c r="C24" s="4">
        <f>'Fire Sta CR'!C21</f>
        <v>173000</v>
      </c>
      <c r="D24" s="324">
        <f>'Fire Sta CR'!C19</f>
        <v>0</v>
      </c>
      <c r="E24" s="4">
        <f>'Fire Sta CR'!C23</f>
        <v>10000</v>
      </c>
      <c r="F24" s="70">
        <f t="shared" si="1"/>
        <v>10000</v>
      </c>
      <c r="G24" s="70"/>
      <c r="H24" s="366"/>
      <c r="I24" s="109"/>
      <c r="J24" s="324"/>
      <c r="N24" s="319"/>
      <c r="O24" s="319"/>
      <c r="P24" s="319"/>
      <c r="Q24" s="319"/>
      <c r="R24" s="319"/>
      <c r="S24" s="319"/>
      <c r="T24" s="319"/>
      <c r="U24" s="319"/>
    </row>
    <row r="25" spans="1:21" x14ac:dyDescent="0.3">
      <c r="A25" s="103" t="s">
        <v>99</v>
      </c>
      <c r="C25" s="4"/>
      <c r="D25" s="4"/>
      <c r="E25" s="4"/>
      <c r="F25" s="70"/>
      <c r="G25" s="70"/>
      <c r="H25" s="366"/>
      <c r="I25" s="109"/>
      <c r="N25" s="319"/>
      <c r="O25" s="319"/>
      <c r="P25" s="319"/>
      <c r="Q25" s="319"/>
      <c r="R25" s="319"/>
      <c r="S25" s="319"/>
      <c r="T25" s="319"/>
      <c r="U25" s="319"/>
    </row>
    <row r="26" spans="1:21" x14ac:dyDescent="0.3">
      <c r="B26" t="s">
        <v>100</v>
      </c>
      <c r="C26" s="4">
        <f>'PD Cruisers'!C24</f>
        <v>64000</v>
      </c>
      <c r="D26" s="4">
        <f>'PD Cruisers'!C22</f>
        <v>40000</v>
      </c>
      <c r="E26" s="4">
        <f>'PD Cruisers'!C26</f>
        <v>40000</v>
      </c>
      <c r="F26" s="70">
        <f t="shared" si="1"/>
        <v>0</v>
      </c>
      <c r="G26" s="70"/>
      <c r="H26" s="366"/>
      <c r="I26" s="109"/>
      <c r="N26" s="319"/>
      <c r="O26" s="319"/>
      <c r="P26" s="319"/>
      <c r="Q26" s="319"/>
      <c r="R26" s="319"/>
      <c r="S26" s="319"/>
      <c r="T26" s="319"/>
      <c r="U26" s="319"/>
    </row>
    <row r="27" spans="1:21" x14ac:dyDescent="0.3">
      <c r="B27" t="s">
        <v>155</v>
      </c>
      <c r="C27" s="4">
        <f>'PD Cruisers'!D19</f>
        <v>24000</v>
      </c>
      <c r="D27" s="4">
        <v>0</v>
      </c>
      <c r="E27" s="4">
        <v>0</v>
      </c>
      <c r="F27" s="70">
        <f t="shared" si="1"/>
        <v>0</v>
      </c>
      <c r="G27" s="70"/>
      <c r="H27" s="366"/>
      <c r="I27" s="109"/>
      <c r="N27" s="319"/>
      <c r="O27" s="319"/>
      <c r="P27" s="319"/>
      <c r="Q27" s="319"/>
      <c r="R27" s="319"/>
      <c r="S27" s="319"/>
      <c r="T27" s="319"/>
      <c r="U27" s="319"/>
    </row>
    <row r="28" spans="1:21" x14ac:dyDescent="0.3">
      <c r="B28" t="s">
        <v>102</v>
      </c>
      <c r="C28" s="4">
        <f>'PD Other'!C19</f>
        <v>29000</v>
      </c>
      <c r="D28" s="4">
        <v>3000</v>
      </c>
      <c r="E28" s="4">
        <f>'PD Other'!C20</f>
        <v>3000</v>
      </c>
      <c r="F28" s="70">
        <f t="shared" si="1"/>
        <v>0</v>
      </c>
      <c r="G28" s="70"/>
      <c r="H28" s="366"/>
      <c r="I28" s="109"/>
      <c r="N28" s="319"/>
      <c r="O28" s="319"/>
      <c r="P28" s="319"/>
      <c r="Q28" s="319"/>
      <c r="R28" s="319"/>
      <c r="S28" s="319"/>
      <c r="T28" s="319"/>
      <c r="U28" s="319"/>
    </row>
    <row r="29" spans="1:21" x14ac:dyDescent="0.3">
      <c r="B29" t="s">
        <v>89</v>
      </c>
      <c r="C29" s="4">
        <f>'PD Other'!C25</f>
        <v>12000</v>
      </c>
      <c r="D29" s="4">
        <v>3000</v>
      </c>
      <c r="E29" s="4">
        <f>'PD Other'!C26</f>
        <v>3000</v>
      </c>
      <c r="F29" s="70">
        <f t="shared" si="1"/>
        <v>0</v>
      </c>
      <c r="G29" s="70"/>
      <c r="H29" s="366"/>
      <c r="I29" s="109"/>
      <c r="N29" s="319"/>
      <c r="O29" s="319"/>
      <c r="P29" s="319"/>
      <c r="Q29" s="319"/>
      <c r="R29" s="319"/>
      <c r="S29" s="319"/>
      <c r="T29" s="319"/>
      <c r="U29" s="319"/>
    </row>
    <row r="30" spans="1:21" x14ac:dyDescent="0.3">
      <c r="A30" s="366" t="s">
        <v>103</v>
      </c>
      <c r="B30" s="109"/>
      <c r="C30" s="70"/>
      <c r="D30" s="70"/>
      <c r="E30" s="70"/>
      <c r="F30" s="70"/>
      <c r="G30" s="70"/>
      <c r="H30" s="366"/>
      <c r="I30" s="109"/>
      <c r="N30" s="319"/>
      <c r="O30" s="319"/>
      <c r="P30" s="319"/>
      <c r="Q30" s="319"/>
      <c r="R30" s="319"/>
      <c r="S30" s="319"/>
      <c r="T30" s="319"/>
      <c r="U30" s="319"/>
    </row>
    <row r="31" spans="1:21" x14ac:dyDescent="0.3">
      <c r="A31" s="580"/>
      <c r="B31" s="109" t="s">
        <v>142</v>
      </c>
      <c r="C31" s="70">
        <f>'Town Hall Expansion-Repairs'!C21</f>
        <v>91500</v>
      </c>
      <c r="D31" s="70">
        <v>0</v>
      </c>
      <c r="E31" s="70">
        <f>'Town Hall Expansion-Repairs'!C22</f>
        <v>0</v>
      </c>
      <c r="F31" s="70">
        <f t="shared" si="1"/>
        <v>0</v>
      </c>
      <c r="G31" s="70"/>
      <c r="H31" s="607" t="s">
        <v>692</v>
      </c>
      <c r="I31" s="607"/>
      <c r="N31" s="319"/>
      <c r="O31" s="319"/>
      <c r="P31" s="319"/>
      <c r="Q31" s="319"/>
      <c r="R31" s="319"/>
      <c r="S31" s="319"/>
      <c r="T31" s="319"/>
      <c r="U31" s="319"/>
    </row>
    <row r="32" spans="1:21" x14ac:dyDescent="0.3">
      <c r="B32" s="109" t="s">
        <v>102</v>
      </c>
      <c r="C32" s="70">
        <f>'Town IMS'!C15</f>
        <v>32000</v>
      </c>
      <c r="D32" s="70">
        <v>15000</v>
      </c>
      <c r="E32" s="70">
        <f>'Town IMS'!C16</f>
        <v>10000</v>
      </c>
      <c r="F32" s="70">
        <f t="shared" si="1"/>
        <v>-5000</v>
      </c>
      <c r="G32" s="70"/>
      <c r="H32" s="533"/>
      <c r="I32" s="607"/>
      <c r="N32" s="319"/>
      <c r="O32" s="319"/>
      <c r="P32" s="319"/>
      <c r="Q32" s="319"/>
      <c r="R32" s="319"/>
      <c r="S32" s="319"/>
      <c r="T32" s="319"/>
      <c r="U32" s="319"/>
    </row>
    <row r="33" spans="1:21" s="319" customFormat="1" x14ac:dyDescent="0.3">
      <c r="A33" s="103" t="s">
        <v>332</v>
      </c>
      <c r="C33" s="324">
        <v>0</v>
      </c>
      <c r="D33" s="324">
        <v>0</v>
      </c>
      <c r="E33" s="324">
        <f>'Rail Trails'!C16</f>
        <v>0</v>
      </c>
      <c r="F33" s="70">
        <f t="shared" si="1"/>
        <v>0</v>
      </c>
      <c r="G33" s="70"/>
      <c r="H33" s="366"/>
      <c r="I33" s="607"/>
      <c r="J33" s="324"/>
    </row>
    <row r="34" spans="1:21" x14ac:dyDescent="0.3">
      <c r="A34" s="103" t="s">
        <v>107</v>
      </c>
      <c r="C34" s="4">
        <f>Recreation!C20</f>
        <v>74000</v>
      </c>
      <c r="D34" s="4">
        <f>Recreation!C18</f>
        <v>10000</v>
      </c>
      <c r="E34" s="4">
        <f>Recreation!C21</f>
        <v>10000</v>
      </c>
      <c r="F34" s="70">
        <f t="shared" si="1"/>
        <v>0</v>
      </c>
      <c r="G34" s="70"/>
      <c r="H34" s="366"/>
      <c r="I34" s="607"/>
      <c r="N34" s="319"/>
      <c r="O34" s="319"/>
      <c r="P34" s="319"/>
      <c r="Q34" s="319"/>
      <c r="R34" s="319"/>
      <c r="S34" s="319"/>
      <c r="T34" s="319"/>
      <c r="U34" s="319"/>
    </row>
    <row r="35" spans="1:21" x14ac:dyDescent="0.3">
      <c r="A35" s="103" t="s">
        <v>108</v>
      </c>
      <c r="C35" s="4"/>
      <c r="D35" s="4"/>
      <c r="E35" s="4"/>
      <c r="F35" s="70"/>
      <c r="G35" s="70"/>
      <c r="H35" s="366"/>
      <c r="I35" s="607"/>
      <c r="N35" s="319"/>
      <c r="O35" s="319"/>
      <c r="P35" s="319"/>
      <c r="Q35" s="319"/>
      <c r="R35" s="319"/>
      <c r="S35" s="319"/>
      <c r="T35" s="319"/>
      <c r="U35" s="319"/>
    </row>
    <row r="36" spans="1:21" x14ac:dyDescent="0.3">
      <c r="B36" s="469" t="s">
        <v>327</v>
      </c>
      <c r="C36" s="470">
        <v>0</v>
      </c>
      <c r="D36" s="470">
        <v>0</v>
      </c>
      <c r="E36" s="470">
        <f>Recycling!C25</f>
        <v>50000</v>
      </c>
      <c r="F36" s="470">
        <f t="shared" si="1"/>
        <v>50000</v>
      </c>
      <c r="G36" s="70"/>
      <c r="H36" s="471" t="s">
        <v>702</v>
      </c>
      <c r="I36" s="469"/>
      <c r="N36" s="319"/>
      <c r="O36" s="319"/>
      <c r="P36" s="319"/>
      <c r="Q36" s="319"/>
      <c r="R36" s="319"/>
      <c r="S36" s="319"/>
      <c r="T36" s="319"/>
      <c r="U36" s="319"/>
    </row>
    <row r="37" spans="1:21" x14ac:dyDescent="0.3">
      <c r="B37" t="s">
        <v>110</v>
      </c>
      <c r="C37" s="4">
        <f>Recycling!C24</f>
        <v>486000</v>
      </c>
      <c r="D37" s="36">
        <v>0</v>
      </c>
      <c r="E37" s="36">
        <v>0</v>
      </c>
      <c r="F37" s="217">
        <f t="shared" si="1"/>
        <v>0</v>
      </c>
      <c r="G37" s="70"/>
      <c r="H37" s="610" t="s">
        <v>792</v>
      </c>
      <c r="I37" s="469"/>
      <c r="N37" s="319"/>
      <c r="O37" s="319"/>
      <c r="P37" s="319"/>
      <c r="Q37" s="319"/>
      <c r="R37" s="319"/>
      <c r="S37" s="319"/>
      <c r="T37" s="319"/>
      <c r="U37" s="319"/>
    </row>
    <row r="38" spans="1:21" x14ac:dyDescent="0.3">
      <c r="A38" s="103" t="s">
        <v>119</v>
      </c>
      <c r="C38" s="4"/>
      <c r="F38" s="109"/>
      <c r="G38" s="109"/>
      <c r="H38" s="366"/>
      <c r="I38" s="109"/>
      <c r="N38" s="319"/>
      <c r="O38" s="319"/>
      <c r="P38" s="319"/>
      <c r="Q38" s="319"/>
      <c r="R38" s="319"/>
      <c r="S38" s="319"/>
      <c r="T38" s="319"/>
      <c r="U38" s="319"/>
    </row>
    <row r="39" spans="1:21" s="102" customFormat="1" ht="12.75" customHeight="1" x14ac:dyDescent="0.3">
      <c r="A39" s="103"/>
      <c r="B39" t="s">
        <v>334</v>
      </c>
      <c r="C39" s="4">
        <f>'Lib-MCUL'!C21</f>
        <v>21000</v>
      </c>
      <c r="D39" s="4">
        <v>3000</v>
      </c>
      <c r="E39" s="4">
        <f>'Lib-MCUL'!C22</f>
        <v>3000</v>
      </c>
      <c r="F39" s="70">
        <f>E39-D39</f>
        <v>0</v>
      </c>
      <c r="G39" s="109"/>
      <c r="H39" s="366"/>
      <c r="I39" s="447"/>
      <c r="J39" s="324"/>
      <c r="N39" s="319"/>
      <c r="O39" s="319"/>
      <c r="P39" s="319"/>
      <c r="Q39" s="319"/>
      <c r="R39" s="319"/>
      <c r="S39" s="319"/>
      <c r="T39" s="319"/>
      <c r="U39" s="319"/>
    </row>
    <row r="40" spans="1:21" s="102" customFormat="1" ht="15.6" x14ac:dyDescent="0.45">
      <c r="A40" s="103"/>
      <c r="B40" t="s">
        <v>56</v>
      </c>
      <c r="C40" s="4">
        <f>'Lib-SFL'!C17</f>
        <v>12000</v>
      </c>
      <c r="D40" s="325">
        <v>1000</v>
      </c>
      <c r="E40" s="56">
        <f>'Lib-SFL'!C19</f>
        <v>1000</v>
      </c>
      <c r="F40" s="71">
        <f>E40-D40</f>
        <v>0</v>
      </c>
      <c r="G40" s="109"/>
      <c r="H40" s="448"/>
      <c r="I40" s="447"/>
      <c r="J40" s="324"/>
      <c r="N40" s="319"/>
      <c r="O40" s="319"/>
      <c r="P40" s="319"/>
      <c r="Q40" s="319"/>
      <c r="R40" s="319"/>
      <c r="S40" s="319"/>
      <c r="T40" s="319"/>
      <c r="U40" s="319"/>
    </row>
    <row r="41" spans="1:21" ht="15.6" x14ac:dyDescent="0.45">
      <c r="C41" s="4"/>
      <c r="D41" s="56">
        <f>SUM(D6:D40)</f>
        <v>495000</v>
      </c>
      <c r="E41" s="193">
        <f>SUM(E6:E40)</f>
        <v>590000</v>
      </c>
      <c r="F41" s="71">
        <f t="shared" ref="F41" si="2">SUM(F6:F40)</f>
        <v>95000</v>
      </c>
      <c r="G41" s="70"/>
      <c r="H41" s="449">
        <f>F41/D41</f>
        <v>0.19191919191919191</v>
      </c>
      <c r="I41" s="109" t="s">
        <v>225</v>
      </c>
      <c r="K41" s="324">
        <f>E41-D41</f>
        <v>95000</v>
      </c>
      <c r="L41" s="113">
        <f>F41-K41</f>
        <v>0</v>
      </c>
    </row>
    <row r="42" spans="1:21" x14ac:dyDescent="0.3">
      <c r="A42" s="103" t="s">
        <v>93</v>
      </c>
      <c r="C42" s="4"/>
      <c r="D42" s="4"/>
      <c r="E42" s="4"/>
      <c r="F42" s="70"/>
      <c r="G42" s="70"/>
      <c r="H42" s="366"/>
      <c r="I42" s="109"/>
    </row>
    <row r="43" spans="1:21" x14ac:dyDescent="0.3">
      <c r="B43" s="466" t="s">
        <v>24</v>
      </c>
      <c r="C43" s="467">
        <f>CH!C14</f>
        <v>76000</v>
      </c>
      <c r="D43" s="467">
        <v>0</v>
      </c>
      <c r="E43" s="467">
        <f>CH!C17</f>
        <v>0</v>
      </c>
      <c r="F43" s="467">
        <f>E43-D43</f>
        <v>0</v>
      </c>
      <c r="G43" s="70"/>
      <c r="H43" s="366" t="s">
        <v>790</v>
      </c>
    </row>
    <row r="44" spans="1:21" x14ac:dyDescent="0.3">
      <c r="B44" s="466" t="s">
        <v>124</v>
      </c>
      <c r="C44" s="467">
        <f>'Cons. Land Acq'!C17</f>
        <v>192000</v>
      </c>
      <c r="D44" s="467">
        <v>0</v>
      </c>
      <c r="E44" s="467">
        <f>'Cons. Land Acq'!C15</f>
        <v>0</v>
      </c>
      <c r="F44" s="467">
        <f>E44-D44</f>
        <v>0</v>
      </c>
      <c r="G44" s="70"/>
      <c r="H44" s="366"/>
    </row>
    <row r="45" spans="1:21" s="319" customFormat="1" x14ac:dyDescent="0.3">
      <c r="A45" s="103"/>
      <c r="B45" s="466" t="s">
        <v>330</v>
      </c>
      <c r="C45" s="467">
        <v>0</v>
      </c>
      <c r="D45" s="467">
        <f>Grange!C12</f>
        <v>17000</v>
      </c>
      <c r="E45" s="467">
        <f>Grange!C16</f>
        <v>5000</v>
      </c>
      <c r="F45" s="467">
        <f>E45-D45</f>
        <v>-12000</v>
      </c>
      <c r="G45" s="70"/>
      <c r="H45" s="366" t="s">
        <v>791</v>
      </c>
      <c r="J45" s="324"/>
    </row>
    <row r="46" spans="1:21" s="102" customFormat="1" ht="15.6" x14ac:dyDescent="0.45">
      <c r="A46" s="103"/>
      <c r="B46" s="466" t="s">
        <v>118</v>
      </c>
      <c r="C46" s="467">
        <f>WH!C12</f>
        <v>105000</v>
      </c>
      <c r="D46" s="468">
        <v>0</v>
      </c>
      <c r="E46" s="468">
        <f>WH!C14</f>
        <v>0</v>
      </c>
      <c r="F46" s="468">
        <f>E46-D46</f>
        <v>0</v>
      </c>
      <c r="G46" s="70"/>
      <c r="H46" s="366"/>
      <c r="I46" s="109"/>
      <c r="J46" s="324"/>
    </row>
    <row r="47" spans="1:21" ht="15.6" x14ac:dyDescent="0.45">
      <c r="C47" s="4"/>
      <c r="D47" s="56">
        <f>SUM(D43:D46)</f>
        <v>17000</v>
      </c>
      <c r="E47" s="56">
        <f>SUM(E43:E46)</f>
        <v>5000</v>
      </c>
      <c r="F47" s="71">
        <f>SUM(F43:F46)</f>
        <v>-12000</v>
      </c>
      <c r="G47" s="70"/>
      <c r="H47" s="450">
        <f>F47/D47</f>
        <v>-0.70588235294117652</v>
      </c>
      <c r="I47" s="109" t="s">
        <v>225</v>
      </c>
      <c r="K47" s="324">
        <f>E47-D47</f>
        <v>-12000</v>
      </c>
      <c r="L47" s="113">
        <f>F47-K47</f>
        <v>0</v>
      </c>
    </row>
    <row r="48" spans="1:21" x14ac:dyDescent="0.3">
      <c r="C48" s="4"/>
      <c r="D48" s="4"/>
      <c r="E48" s="4"/>
      <c r="F48" s="70"/>
      <c r="G48" s="70"/>
      <c r="H48" s="366"/>
      <c r="I48" s="109"/>
      <c r="K48" s="324"/>
    </row>
    <row r="49" spans="1:12" ht="15.6" x14ac:dyDescent="0.45">
      <c r="B49" s="576" t="s">
        <v>125</v>
      </c>
      <c r="C49" s="43"/>
      <c r="D49" s="582">
        <f>D41+D47</f>
        <v>512000</v>
      </c>
      <c r="E49" s="582">
        <f>E41+E47</f>
        <v>595000</v>
      </c>
      <c r="F49" s="574">
        <f>F41+F47</f>
        <v>83000</v>
      </c>
      <c r="G49" s="70"/>
      <c r="H49" s="449">
        <f>F49/D49</f>
        <v>0.162109375</v>
      </c>
      <c r="I49" s="109" t="s">
        <v>225</v>
      </c>
      <c r="K49" s="324">
        <f>E49-D49</f>
        <v>83000</v>
      </c>
      <c r="L49" s="113">
        <f>F49-K49</f>
        <v>0</v>
      </c>
    </row>
    <row r="50" spans="1:12" x14ac:dyDescent="0.3">
      <c r="C50" s="4"/>
      <c r="F50" s="70"/>
      <c r="G50" s="70"/>
      <c r="H50" s="109"/>
      <c r="I50" s="109"/>
    </row>
    <row r="51" spans="1:12" x14ac:dyDescent="0.3">
      <c r="C51" s="4"/>
      <c r="D51" s="323">
        <f>D49-'7 Yr Summary'!C49</f>
        <v>0</v>
      </c>
      <c r="E51" s="323">
        <f>E49-'7 Yr Summary'!D49</f>
        <v>0</v>
      </c>
      <c r="F51" s="70"/>
      <c r="G51" s="70"/>
      <c r="H51" s="109"/>
      <c r="I51" s="109"/>
    </row>
    <row r="52" spans="1:12" x14ac:dyDescent="0.3">
      <c r="C52" s="4">
        <f>SUM(C6:C47)</f>
        <v>3372500</v>
      </c>
      <c r="D52" s="4"/>
      <c r="E52" s="4"/>
      <c r="F52" s="70"/>
      <c r="G52" s="70"/>
      <c r="H52" s="109"/>
      <c r="I52" s="109"/>
    </row>
    <row r="53" spans="1:12" x14ac:dyDescent="0.3">
      <c r="F53" s="109"/>
      <c r="G53" s="109"/>
      <c r="H53" s="109"/>
      <c r="I53" s="109"/>
    </row>
    <row r="54" spans="1:12" x14ac:dyDescent="0.3">
      <c r="F54" s="109"/>
      <c r="G54" s="109"/>
      <c r="H54" s="109"/>
      <c r="I54" s="109"/>
    </row>
    <row r="55" spans="1:12" x14ac:dyDescent="0.3">
      <c r="C55" t="s">
        <v>793</v>
      </c>
      <c r="D55" s="324">
        <v>10000</v>
      </c>
      <c r="E55" s="324">
        <v>5000</v>
      </c>
      <c r="F55" s="341">
        <f>D55-E55</f>
        <v>5000</v>
      </c>
      <c r="G55" s="109"/>
      <c r="H55" s="109"/>
      <c r="I55" s="109"/>
    </row>
    <row r="56" spans="1:12" x14ac:dyDescent="0.3">
      <c r="C56" t="s">
        <v>794</v>
      </c>
      <c r="D56" s="324">
        <v>20000</v>
      </c>
      <c r="E56" s="324">
        <v>20000</v>
      </c>
      <c r="F56" s="341">
        <f t="shared" ref="F56:F61" si="3">D56-E56</f>
        <v>0</v>
      </c>
      <c r="G56" s="109"/>
      <c r="H56" s="109"/>
      <c r="I56" s="109"/>
    </row>
    <row r="57" spans="1:12" s="319" customFormat="1" x14ac:dyDescent="0.3">
      <c r="A57" s="103"/>
      <c r="C57" s="319" t="s">
        <v>374</v>
      </c>
      <c r="D57" s="324">
        <v>0</v>
      </c>
      <c r="E57" s="324">
        <v>-10000</v>
      </c>
      <c r="F57" s="341">
        <f t="shared" si="3"/>
        <v>10000</v>
      </c>
      <c r="G57" s="109"/>
      <c r="H57" s="109"/>
      <c r="I57" s="109"/>
      <c r="J57" s="324"/>
    </row>
    <row r="58" spans="1:12" ht="15.6" x14ac:dyDescent="0.45">
      <c r="C58" t="s">
        <v>795</v>
      </c>
      <c r="D58" s="325">
        <v>-3000</v>
      </c>
      <c r="E58" s="325">
        <v>0</v>
      </c>
      <c r="F58" s="325">
        <f t="shared" si="3"/>
        <v>-3000</v>
      </c>
      <c r="G58" s="109"/>
      <c r="H58" s="109"/>
      <c r="I58" s="109"/>
    </row>
    <row r="59" spans="1:12" x14ac:dyDescent="0.3">
      <c r="D59" s="324">
        <f>SUM(D55:D58)+D49</f>
        <v>539000</v>
      </c>
      <c r="E59" s="324">
        <f>SUM(E55:E58)+E49</f>
        <v>610000</v>
      </c>
      <c r="F59" s="324">
        <f t="shared" si="3"/>
        <v>-71000</v>
      </c>
      <c r="G59" s="109"/>
      <c r="H59" s="109"/>
      <c r="I59" s="109"/>
    </row>
    <row r="60" spans="1:12" ht="15.6" x14ac:dyDescent="0.45">
      <c r="D60" s="325">
        <v>539000</v>
      </c>
      <c r="E60" s="325">
        <v>610000</v>
      </c>
      <c r="F60" s="325">
        <f t="shared" si="3"/>
        <v>-71000</v>
      </c>
    </row>
    <row r="61" spans="1:12" x14ac:dyDescent="0.3">
      <c r="D61" s="46">
        <f>D59-D60</f>
        <v>0</v>
      </c>
      <c r="E61" s="46">
        <f>E59-E60</f>
        <v>0</v>
      </c>
      <c r="F61" s="46">
        <f t="shared" si="3"/>
        <v>0</v>
      </c>
    </row>
  </sheetData>
  <mergeCells count="5">
    <mergeCell ref="K9:L9"/>
    <mergeCell ref="D2:F2"/>
    <mergeCell ref="E3:F3"/>
    <mergeCell ref="A4:B4"/>
    <mergeCell ref="H4:I4"/>
  </mergeCells>
  <pageMargins left="0.7" right="0.7" top="0.75" bottom="0.75" header="0.3" footer="0.3"/>
  <pageSetup orientation="landscape" r:id="rId1"/>
  <headerFooter>
    <oddHeader>&amp;C&amp;"-,Bold"&amp;12Swanzey CIPC
2020 CASH CAPITAL BUDGET</oddHeader>
    <oddFooter>&amp;L&amp;A&amp;R&amp;P of &amp;N</oddFooter>
  </headerFooter>
  <rowBreaks count="1" manualBreakCount="1">
    <brk id="29"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1"/>
  <sheetViews>
    <sheetView view="pageBreakPreview" topLeftCell="A22" zoomScaleNormal="100" zoomScaleSheetLayoutView="100" workbookViewId="0">
      <selection activeCell="D47" sqref="D47"/>
    </sheetView>
  </sheetViews>
  <sheetFormatPr defaultColWidth="9.109375" defaultRowHeight="13.8" x14ac:dyDescent="0.3"/>
  <cols>
    <col min="1" max="1" width="3.5546875" style="102" customWidth="1"/>
    <col min="2" max="2" width="37.33203125" style="102" customWidth="1"/>
    <col min="3" max="5" width="10" style="102" bestFit="1" customWidth="1"/>
    <col min="6" max="6" width="10.5546875" style="102" customWidth="1"/>
    <col min="7" max="7" width="10" style="102" bestFit="1" customWidth="1"/>
    <col min="8" max="8" width="10.109375" style="102" customWidth="1"/>
    <col min="9" max="9" width="11.109375" style="102" customWidth="1"/>
    <col min="10" max="10" width="17.109375" style="176" customWidth="1"/>
    <col min="11" max="11" width="11.33203125" style="176" customWidth="1"/>
    <col min="12" max="12" width="11" style="180" bestFit="1" customWidth="1"/>
    <col min="13" max="13" width="9.109375" style="102"/>
    <col min="14" max="14" width="11.88671875" style="180" customWidth="1"/>
    <col min="15" max="15" width="12.109375" style="102" customWidth="1"/>
    <col min="16" max="16" width="19.109375" style="180" customWidth="1"/>
    <col min="17" max="17" width="12.88671875" style="102" customWidth="1"/>
    <col min="18" max="18" width="11.109375" style="102" bestFit="1" customWidth="1"/>
    <col min="19" max="21" width="11" style="102" bestFit="1" customWidth="1"/>
    <col min="22" max="16384" width="9.109375" style="102"/>
  </cols>
  <sheetData>
    <row r="1" spans="1:16" x14ac:dyDescent="0.3">
      <c r="A1" s="102" t="s">
        <v>716</v>
      </c>
    </row>
    <row r="2" spans="1:16" ht="15.6" x14ac:dyDescent="0.45">
      <c r="A2" s="620" t="s">
        <v>21</v>
      </c>
      <c r="B2" s="620"/>
      <c r="C2" s="377">
        <v>2020</v>
      </c>
      <c r="D2" s="376">
        <f t="shared" ref="D2:I2" si="0">1+C2</f>
        <v>2021</v>
      </c>
      <c r="E2" s="376">
        <f t="shared" si="0"/>
        <v>2022</v>
      </c>
      <c r="F2" s="376">
        <f t="shared" si="0"/>
        <v>2023</v>
      </c>
      <c r="G2" s="376">
        <f t="shared" si="0"/>
        <v>2024</v>
      </c>
      <c r="H2" s="376">
        <f t="shared" si="0"/>
        <v>2025</v>
      </c>
      <c r="I2" s="376">
        <f t="shared" si="0"/>
        <v>2026</v>
      </c>
      <c r="J2" s="376"/>
      <c r="K2" s="203"/>
    </row>
    <row r="3" spans="1:16" s="308" customFormat="1" x14ac:dyDescent="0.3">
      <c r="A3" s="373" t="s">
        <v>399</v>
      </c>
      <c r="B3" s="371"/>
      <c r="C3" s="451" t="s">
        <v>500</v>
      </c>
      <c r="D3" s="372"/>
      <c r="E3" s="372"/>
      <c r="F3" s="372"/>
      <c r="G3" s="372"/>
      <c r="H3" s="372"/>
      <c r="I3" s="372"/>
      <c r="J3" s="372"/>
      <c r="K3" s="372"/>
      <c r="L3" s="36"/>
      <c r="N3" s="36"/>
      <c r="P3" s="36"/>
    </row>
    <row r="4" spans="1:16" x14ac:dyDescent="0.3">
      <c r="A4" s="65" t="s">
        <v>87</v>
      </c>
      <c r="B4" s="65"/>
      <c r="C4" s="133"/>
      <c r="D4" s="319"/>
    </row>
    <row r="5" spans="1:16" x14ac:dyDescent="0.3">
      <c r="A5" s="65"/>
      <c r="B5" s="65" t="s">
        <v>88</v>
      </c>
      <c r="C5" s="134">
        <f>'2021 Cash Reserve Summary'!D6</f>
        <v>160000</v>
      </c>
      <c r="D5" s="324">
        <f>'DPW-CEM Equip'!C27</f>
        <v>150000</v>
      </c>
      <c r="E5" s="4">
        <f>'DPW-CEM Equip'!D27</f>
        <v>150000</v>
      </c>
      <c r="F5" s="4">
        <f>'DPW-CEM Equip'!E27</f>
        <v>150000</v>
      </c>
      <c r="G5" s="4">
        <f>'DPW-CEM Equip'!F27</f>
        <v>150000</v>
      </c>
      <c r="H5" s="4">
        <f>'DPW-CEM Equip'!G27</f>
        <v>150000</v>
      </c>
      <c r="I5" s="4">
        <f>'DPW-CEM Equip'!H27</f>
        <v>150000</v>
      </c>
      <c r="J5" s="180"/>
      <c r="K5" s="180">
        <f>'2021 Cash Reserve Summary'!E6</f>
        <v>150000</v>
      </c>
      <c r="L5" s="180">
        <f>D5-K5</f>
        <v>0</v>
      </c>
      <c r="M5" s="4"/>
    </row>
    <row r="6" spans="1:16" x14ac:dyDescent="0.3">
      <c r="A6" s="65"/>
      <c r="B6" s="65" t="s">
        <v>89</v>
      </c>
      <c r="C6" s="134">
        <f>'2021 Cash Reserve Summary'!D7</f>
        <v>0</v>
      </c>
      <c r="D6" s="70">
        <f>'DPW Facilities'!C18</f>
        <v>0</v>
      </c>
      <c r="E6" s="70">
        <f>'DPW Facilities'!D18</f>
        <v>0</v>
      </c>
      <c r="F6" s="70">
        <f>'DPW Facilities'!E18</f>
        <v>0</v>
      </c>
      <c r="G6" s="70">
        <f>'DPW Facilities'!F18</f>
        <v>0</v>
      </c>
      <c r="H6" s="70">
        <f>'DPW Facilities'!G18</f>
        <v>0</v>
      </c>
      <c r="I6" s="70">
        <f>'DPW Facilities'!H18</f>
        <v>0</v>
      </c>
      <c r="J6" s="70"/>
      <c r="K6" s="324">
        <f>'2021 Cash Reserve Summary'!E7</f>
        <v>0</v>
      </c>
      <c r="L6" s="324">
        <f t="shared" ref="L6:L28" si="1">D6-K6</f>
        <v>0</v>
      </c>
      <c r="M6" s="4"/>
    </row>
    <row r="7" spans="1:16" x14ac:dyDescent="0.3">
      <c r="A7" s="65"/>
      <c r="B7" s="65" t="s">
        <v>144</v>
      </c>
      <c r="C7" s="134">
        <f>'2021 Cash Reserve Summary'!D8</f>
        <v>0</v>
      </c>
      <c r="D7" s="70">
        <f>'Cemetery Expansion'!C19</f>
        <v>0</v>
      </c>
      <c r="E7" s="70">
        <f>'Cemetery Expansion'!D19</f>
        <v>0</v>
      </c>
      <c r="F7" s="70">
        <f>'Cemetery Expansion'!E19</f>
        <v>5000</v>
      </c>
      <c r="G7" s="70">
        <f>'Cemetery Expansion'!F19</f>
        <v>5000</v>
      </c>
      <c r="H7" s="70">
        <f>'Cemetery Expansion'!G19</f>
        <v>5000</v>
      </c>
      <c r="I7" s="70">
        <f>'Cemetery Expansion'!H19</f>
        <v>5000</v>
      </c>
      <c r="J7" s="70"/>
      <c r="K7" s="324">
        <f>'2021 Cash Reserve Summary'!E8</f>
        <v>0</v>
      </c>
      <c r="L7" s="324">
        <f t="shared" si="1"/>
        <v>0</v>
      </c>
      <c r="M7" s="4"/>
    </row>
    <row r="8" spans="1:16" x14ac:dyDescent="0.3">
      <c r="A8" s="65"/>
      <c r="B8" s="65" t="s">
        <v>90</v>
      </c>
      <c r="C8" s="134">
        <f>'2021 Cash Reserve Summary'!D9</f>
        <v>150000</v>
      </c>
      <c r="D8" s="324">
        <f>'DPW Road Rehab'!C24</f>
        <v>200000</v>
      </c>
      <c r="E8" s="4">
        <f>'DPW Road Rehab'!D24</f>
        <v>250000</v>
      </c>
      <c r="F8" s="4">
        <f>'DPW Road Rehab'!E24</f>
        <v>300000</v>
      </c>
      <c r="G8" s="4">
        <f>'DPW Road Rehab'!F24</f>
        <v>300000</v>
      </c>
      <c r="H8" s="4">
        <f>'DPW Road Rehab'!G24</f>
        <v>300000</v>
      </c>
      <c r="I8" s="4">
        <f>'DPW Road Rehab'!H24</f>
        <v>300000</v>
      </c>
      <c r="J8" s="180"/>
      <c r="K8" s="324">
        <f>'2021 Cash Reserve Summary'!E9</f>
        <v>200000</v>
      </c>
      <c r="L8" s="324">
        <f t="shared" si="1"/>
        <v>0</v>
      </c>
      <c r="M8" s="4"/>
    </row>
    <row r="9" spans="1:16" x14ac:dyDescent="0.3">
      <c r="A9" s="65"/>
      <c r="B9" s="65" t="s">
        <v>91</v>
      </c>
      <c r="C9" s="134">
        <f>'2021 Cash Reserve Summary'!D10</f>
        <v>0</v>
      </c>
      <c r="D9" s="324">
        <v>0</v>
      </c>
      <c r="E9" s="4">
        <v>0</v>
      </c>
      <c r="F9" s="4">
        <v>0</v>
      </c>
      <c r="G9" s="4">
        <v>0</v>
      </c>
      <c r="H9" s="4">
        <v>0</v>
      </c>
      <c r="I9" s="4">
        <v>0</v>
      </c>
      <c r="J9" s="180"/>
      <c r="K9" s="324">
        <f>'2021 Cash Reserve Summary'!E10</f>
        <v>0</v>
      </c>
      <c r="L9" s="324">
        <f t="shared" si="1"/>
        <v>0</v>
      </c>
      <c r="M9" s="4"/>
    </row>
    <row r="10" spans="1:16" s="319" customFormat="1" x14ac:dyDescent="0.3">
      <c r="A10" s="65"/>
      <c r="B10" s="65" t="s">
        <v>326</v>
      </c>
      <c r="C10" s="134">
        <f>'2021 Cash Reserve Summary'!D11</f>
        <v>0</v>
      </c>
      <c r="D10" s="324">
        <f>'DPW Sidewalks'!C18</f>
        <v>10000</v>
      </c>
      <c r="E10" s="324">
        <f>'DPW Sidewalks'!D18</f>
        <v>10000</v>
      </c>
      <c r="F10" s="324">
        <f>'DPW Sidewalks'!E18</f>
        <v>10000</v>
      </c>
      <c r="G10" s="324">
        <f>'DPW Sidewalks'!F18</f>
        <v>10000</v>
      </c>
      <c r="H10" s="324">
        <f>'DPW Sidewalks'!G18</f>
        <v>10000</v>
      </c>
      <c r="I10" s="324">
        <f>'DPW Sidewalks'!H18</f>
        <v>10000</v>
      </c>
      <c r="J10" s="324"/>
      <c r="K10" s="324">
        <f>'2021 Cash Reserve Summary'!E11</f>
        <v>10000</v>
      </c>
      <c r="L10" s="324">
        <f t="shared" si="1"/>
        <v>0</v>
      </c>
      <c r="M10" s="324"/>
      <c r="N10" s="324"/>
      <c r="P10" s="324"/>
    </row>
    <row r="11" spans="1:16" x14ac:dyDescent="0.3">
      <c r="A11" s="65"/>
      <c r="B11" s="65" t="s">
        <v>26</v>
      </c>
      <c r="C11" s="134">
        <f>'2021 Cash Reserve Summary'!D12</f>
        <v>10000</v>
      </c>
      <c r="D11" s="324">
        <f>'DPW Town Dams'!C16</f>
        <v>10000</v>
      </c>
      <c r="E11" s="4">
        <f>'DPW Town Dams'!D16</f>
        <v>10000</v>
      </c>
      <c r="F11" s="4">
        <f>'DPW Town Dams'!E16</f>
        <v>10000</v>
      </c>
      <c r="G11" s="4">
        <f>'DPW Town Dams'!F16</f>
        <v>10000</v>
      </c>
      <c r="H11" s="4">
        <f>'DPW Town Dams'!G16</f>
        <v>10000</v>
      </c>
      <c r="I11" s="4">
        <f>'DPW Town Dams'!H16</f>
        <v>10000</v>
      </c>
      <c r="J11" s="180"/>
      <c r="K11" s="324">
        <f>'2021 Cash Reserve Summary'!E12</f>
        <v>10000</v>
      </c>
      <c r="L11" s="324">
        <f t="shared" si="1"/>
        <v>0</v>
      </c>
      <c r="M11" s="4"/>
    </row>
    <row r="12" spans="1:16" x14ac:dyDescent="0.3">
      <c r="A12" s="65"/>
      <c r="B12" s="65" t="s">
        <v>61</v>
      </c>
      <c r="C12" s="134">
        <f>'2021 Cash Reserve Summary'!D13</f>
        <v>40000</v>
      </c>
      <c r="D12" s="324">
        <f>'DPW Bridges'!C18</f>
        <v>40000</v>
      </c>
      <c r="E12" s="324">
        <f>'DPW Bridges'!D18</f>
        <v>40000</v>
      </c>
      <c r="F12" s="324">
        <f>'DPW Bridges'!E18</f>
        <v>50000</v>
      </c>
      <c r="G12" s="324">
        <f>'DPW Bridges'!F18</f>
        <v>50000</v>
      </c>
      <c r="H12" s="324">
        <f>'DPW Bridges'!G18</f>
        <v>50000</v>
      </c>
      <c r="I12" s="324">
        <f>'DPW Bridges'!H18</f>
        <v>50000</v>
      </c>
      <c r="J12" s="180"/>
      <c r="K12" s="324">
        <f>'2021 Cash Reserve Summary'!E13</f>
        <v>40000</v>
      </c>
      <c r="L12" s="324">
        <f t="shared" si="1"/>
        <v>0</v>
      </c>
      <c r="M12" s="4"/>
    </row>
    <row r="13" spans="1:16" x14ac:dyDescent="0.3">
      <c r="A13" s="65"/>
      <c r="B13" s="65" t="s">
        <v>27</v>
      </c>
      <c r="C13" s="134">
        <f>'2021 Cash Reserve Summary'!D14</f>
        <v>5000</v>
      </c>
      <c r="D13" s="324">
        <f>'DPW Covered Br'!C19</f>
        <v>5000</v>
      </c>
      <c r="E13" s="4">
        <f>'DPW Covered Br'!D19</f>
        <v>5000</v>
      </c>
      <c r="F13" s="4">
        <f>'DPW Covered Br'!E19</f>
        <v>5000</v>
      </c>
      <c r="G13" s="4">
        <f>'DPW Covered Br'!F19</f>
        <v>5000</v>
      </c>
      <c r="H13" s="4">
        <f>'DPW Covered Br'!G19</f>
        <v>5000</v>
      </c>
      <c r="I13" s="4">
        <f>'DPW Covered Br'!H19</f>
        <v>5000</v>
      </c>
      <c r="J13" s="180"/>
      <c r="K13" s="324">
        <f>'2021 Cash Reserve Summary'!E14</f>
        <v>5000</v>
      </c>
      <c r="L13" s="324">
        <f t="shared" si="1"/>
        <v>0</v>
      </c>
      <c r="M13" s="4"/>
    </row>
    <row r="14" spans="1:16" x14ac:dyDescent="0.3">
      <c r="A14" s="65" t="s">
        <v>105</v>
      </c>
      <c r="B14" s="65"/>
      <c r="C14" s="134">
        <f>'2021 Cash Reserve Summary'!D15</f>
        <v>0</v>
      </c>
      <c r="D14" s="324"/>
      <c r="E14" s="4"/>
      <c r="F14" s="4"/>
      <c r="K14" s="324">
        <f>'2021 Cash Reserve Summary'!E15</f>
        <v>0</v>
      </c>
      <c r="L14" s="324">
        <f t="shared" si="1"/>
        <v>0</v>
      </c>
      <c r="M14" s="4"/>
    </row>
    <row r="15" spans="1:16" x14ac:dyDescent="0.3">
      <c r="A15" s="65"/>
      <c r="B15" s="65" t="s">
        <v>89</v>
      </c>
      <c r="C15" s="134">
        <f>'2021 Cash Reserve Summary'!D16</f>
        <v>0</v>
      </c>
      <c r="D15" s="324">
        <v>0</v>
      </c>
      <c r="E15" s="4">
        <v>0</v>
      </c>
      <c r="F15" s="4">
        <v>0</v>
      </c>
      <c r="G15" s="4">
        <v>0</v>
      </c>
      <c r="H15" s="4">
        <v>0</v>
      </c>
      <c r="I15" s="4">
        <v>0</v>
      </c>
      <c r="J15" s="180"/>
      <c r="K15" s="324">
        <f>'2021 Cash Reserve Summary'!E16</f>
        <v>0</v>
      </c>
      <c r="L15" s="324">
        <f t="shared" si="1"/>
        <v>0</v>
      </c>
      <c r="M15" s="4"/>
    </row>
    <row r="16" spans="1:16" x14ac:dyDescent="0.3">
      <c r="A16" s="65"/>
      <c r="B16" s="65" t="s">
        <v>106</v>
      </c>
      <c r="C16" s="134">
        <f>'2021 Cash Reserve Summary'!D17</f>
        <v>5000</v>
      </c>
      <c r="D16" s="324">
        <f>'EM Fac &amp; Com'!C30</f>
        <v>10000</v>
      </c>
      <c r="E16" s="4">
        <f>'EM Fac &amp; Com'!D30</f>
        <v>10000</v>
      </c>
      <c r="F16" s="4">
        <f>'EM Fac &amp; Com'!E30</f>
        <v>10000</v>
      </c>
      <c r="G16" s="4">
        <f>'EM Fac &amp; Com'!F30</f>
        <v>10000</v>
      </c>
      <c r="H16" s="4">
        <f>'EM Fac &amp; Com'!G30</f>
        <v>10000</v>
      </c>
      <c r="I16" s="4">
        <f>'EM Fac &amp; Com'!H30</f>
        <v>10000</v>
      </c>
      <c r="J16" s="180"/>
      <c r="K16" s="324">
        <f>'2021 Cash Reserve Summary'!E17</f>
        <v>10000</v>
      </c>
      <c r="L16" s="324">
        <f t="shared" si="1"/>
        <v>0</v>
      </c>
      <c r="M16" s="4"/>
    </row>
    <row r="17" spans="1:16" x14ac:dyDescent="0.3">
      <c r="A17" s="65" t="s">
        <v>92</v>
      </c>
      <c r="B17" s="65"/>
      <c r="C17" s="134"/>
      <c r="D17" s="324"/>
      <c r="E17" s="4"/>
      <c r="F17" s="4"/>
      <c r="K17" s="324">
        <f>'2021 Cash Reserve Summary'!E18</f>
        <v>0</v>
      </c>
      <c r="L17" s="324">
        <f t="shared" si="1"/>
        <v>0</v>
      </c>
      <c r="M17" s="4"/>
    </row>
    <row r="18" spans="1:16" x14ac:dyDescent="0.3">
      <c r="A18" s="65"/>
      <c r="B18" s="65" t="s">
        <v>94</v>
      </c>
      <c r="C18" s="134">
        <f>'2021 Cash Reserve Summary'!D19</f>
        <v>5000</v>
      </c>
      <c r="D18" s="324">
        <f>'Fire Trucks'!C23</f>
        <v>5000</v>
      </c>
      <c r="E18" s="4">
        <f>'Fire Trucks'!D23</f>
        <v>5000</v>
      </c>
      <c r="F18" s="4">
        <f>'Fire Trucks'!E23</f>
        <v>5000</v>
      </c>
      <c r="G18" s="4">
        <f>'Fire Trucks'!F23</f>
        <v>5000</v>
      </c>
      <c r="H18" s="4">
        <f>'Fire Trucks'!G23</f>
        <v>5000</v>
      </c>
      <c r="I18" s="4">
        <f>'Fire Trucks'!H23</f>
        <v>5000</v>
      </c>
      <c r="J18" s="180"/>
      <c r="K18" s="324">
        <f>'2021 Cash Reserve Summary'!E19</f>
        <v>5000</v>
      </c>
      <c r="L18" s="324">
        <f t="shared" si="1"/>
        <v>0</v>
      </c>
      <c r="M18" s="4"/>
    </row>
    <row r="19" spans="1:16" s="319" customFormat="1" x14ac:dyDescent="0.3">
      <c r="A19" s="65"/>
      <c r="B19" s="65" t="s">
        <v>763</v>
      </c>
      <c r="C19" s="134">
        <v>0</v>
      </c>
      <c r="D19" s="324">
        <v>0</v>
      </c>
      <c r="E19" s="324">
        <v>0</v>
      </c>
      <c r="F19" s="324">
        <v>0</v>
      </c>
      <c r="G19" s="324">
        <v>0</v>
      </c>
      <c r="H19" s="324">
        <v>0</v>
      </c>
      <c r="I19" s="324">
        <v>0</v>
      </c>
      <c r="J19" s="324"/>
      <c r="K19" s="324">
        <f>'2021 Cash Reserve Summary'!E20</f>
        <v>0</v>
      </c>
      <c r="L19" s="324">
        <f t="shared" si="1"/>
        <v>0</v>
      </c>
      <c r="M19" s="324"/>
      <c r="N19" s="324"/>
      <c r="P19" s="324"/>
    </row>
    <row r="20" spans="1:16" x14ac:dyDescent="0.3">
      <c r="A20" s="65"/>
      <c r="B20" s="65" t="s">
        <v>95</v>
      </c>
      <c r="C20" s="134">
        <f>'2021 Cash Reserve Summary'!D21</f>
        <v>25000</v>
      </c>
      <c r="D20" s="324">
        <f>'Fire Ponds'!C19</f>
        <v>20000</v>
      </c>
      <c r="E20" s="4">
        <f>'Fire Ponds'!D19</f>
        <v>30000</v>
      </c>
      <c r="F20" s="4">
        <f>'Fire Ponds'!E19</f>
        <v>30000</v>
      </c>
      <c r="G20" s="4">
        <f>'Fire Ponds'!F19</f>
        <v>30000</v>
      </c>
      <c r="H20" s="4">
        <f>'Fire Ponds'!G19</f>
        <v>30000</v>
      </c>
      <c r="I20" s="4">
        <f>'Fire Ponds'!H19</f>
        <v>30000</v>
      </c>
      <c r="J20" s="180"/>
      <c r="K20" s="324">
        <f>'2021 Cash Reserve Summary'!E21</f>
        <v>20000</v>
      </c>
      <c r="L20" s="324">
        <f t="shared" si="1"/>
        <v>0</v>
      </c>
      <c r="M20" s="4"/>
    </row>
    <row r="21" spans="1:16" x14ac:dyDescent="0.3">
      <c r="A21" s="65"/>
      <c r="B21" s="65" t="s">
        <v>96</v>
      </c>
      <c r="C21" s="134">
        <f>'2021 Cash Reserve Summary'!D22</f>
        <v>20000</v>
      </c>
      <c r="D21" s="324">
        <f>'Fire Tools'!C20</f>
        <v>10000</v>
      </c>
      <c r="E21" s="4">
        <f>'Fire Tools'!D20</f>
        <v>10000</v>
      </c>
      <c r="F21" s="4">
        <f>'Fire Tools'!E20</f>
        <v>10000</v>
      </c>
      <c r="G21" s="4">
        <f>'Fire Tools'!F20</f>
        <v>10000</v>
      </c>
      <c r="H21" s="4">
        <f>'Fire Tools'!G20</f>
        <v>5000</v>
      </c>
      <c r="I21" s="4">
        <f>'Fire Tools'!H20</f>
        <v>5000</v>
      </c>
      <c r="J21" s="180"/>
      <c r="K21" s="324">
        <f>'2021 Cash Reserve Summary'!E22</f>
        <v>10000</v>
      </c>
      <c r="L21" s="324">
        <f t="shared" si="1"/>
        <v>0</v>
      </c>
      <c r="M21" s="4"/>
    </row>
    <row r="22" spans="1:16" x14ac:dyDescent="0.3">
      <c r="A22" s="65"/>
      <c r="B22" s="65" t="s">
        <v>97</v>
      </c>
      <c r="C22" s="134">
        <f>'2021 Cash Reserve Summary'!D23</f>
        <v>0</v>
      </c>
      <c r="D22" s="324">
        <f>' Fire Sta. Maint ET'!C21</f>
        <v>0</v>
      </c>
      <c r="E22" s="4">
        <f>' Fire Sta. Maint ET'!D21</f>
        <v>0</v>
      </c>
      <c r="F22" s="4">
        <f>' Fire Sta. Maint ET'!E21</f>
        <v>0</v>
      </c>
      <c r="G22" s="4">
        <f>' Fire Sta. Maint ET'!F21</f>
        <v>0</v>
      </c>
      <c r="H22" s="4">
        <f>' Fire Sta. Maint ET'!G21</f>
        <v>0</v>
      </c>
      <c r="I22" s="4">
        <f>' Fire Sta. Maint ET'!H21</f>
        <v>0</v>
      </c>
      <c r="J22" s="180"/>
      <c r="K22" s="324">
        <f>'2021 Cash Reserve Summary'!E23</f>
        <v>0</v>
      </c>
      <c r="L22" s="324">
        <f t="shared" si="1"/>
        <v>0</v>
      </c>
      <c r="M22" s="4"/>
    </row>
    <row r="23" spans="1:16" x14ac:dyDescent="0.3">
      <c r="A23" s="65"/>
      <c r="B23" s="65" t="s">
        <v>201</v>
      </c>
      <c r="C23" s="134">
        <f>'2021 Cash Reserve Summary'!D24</f>
        <v>0</v>
      </c>
      <c r="D23" s="324">
        <f>'Fire Sta CR'!C23</f>
        <v>10000</v>
      </c>
      <c r="E23" s="324">
        <f>'Fire Sta CR'!D23</f>
        <v>10000</v>
      </c>
      <c r="F23" s="324">
        <f>'Fire Sta CR'!E23</f>
        <v>10000</v>
      </c>
      <c r="G23" s="324">
        <f>'Fire Sta CR'!F23</f>
        <v>10000</v>
      </c>
      <c r="H23" s="324">
        <f>'Fire Sta CR'!G23</f>
        <v>10000</v>
      </c>
      <c r="I23" s="324">
        <f>'Fire Sta CR'!H23</f>
        <v>10000</v>
      </c>
      <c r="J23" s="180"/>
      <c r="K23" s="324">
        <f>'2021 Cash Reserve Summary'!E24</f>
        <v>10000</v>
      </c>
      <c r="L23" s="324">
        <f t="shared" si="1"/>
        <v>0</v>
      </c>
      <c r="M23" s="4"/>
    </row>
    <row r="24" spans="1:16" x14ac:dyDescent="0.3">
      <c r="A24" s="65" t="s">
        <v>99</v>
      </c>
      <c r="B24" s="65"/>
      <c r="C24" s="134"/>
      <c r="D24" s="324"/>
      <c r="E24" s="4"/>
      <c r="F24" s="4"/>
      <c r="K24" s="324">
        <f>'2021 Cash Reserve Summary'!E25</f>
        <v>0</v>
      </c>
      <c r="L24" s="324">
        <f t="shared" si="1"/>
        <v>0</v>
      </c>
      <c r="M24" s="4"/>
    </row>
    <row r="25" spans="1:16" x14ac:dyDescent="0.3">
      <c r="A25" s="65"/>
      <c r="B25" s="65" t="s">
        <v>100</v>
      </c>
      <c r="C25" s="134">
        <f>'2021 Cash Reserve Summary'!D26</f>
        <v>40000</v>
      </c>
      <c r="D25" s="324">
        <f>'PD Cruisers'!C26</f>
        <v>40000</v>
      </c>
      <c r="E25" s="4">
        <f>'PD Cruisers'!D26</f>
        <v>40000</v>
      </c>
      <c r="F25" s="4">
        <f>'PD Cruisers'!E26</f>
        <v>40000</v>
      </c>
      <c r="G25" s="4">
        <f>'PD Cruisers'!F26</f>
        <v>40000</v>
      </c>
      <c r="H25" s="4">
        <f>'PD Cruisers'!G26</f>
        <v>40000</v>
      </c>
      <c r="I25" s="4">
        <f>'PD Cruisers'!H26</f>
        <v>40000</v>
      </c>
      <c r="J25" s="180"/>
      <c r="K25" s="324">
        <f>'2021 Cash Reserve Summary'!E26</f>
        <v>40000</v>
      </c>
      <c r="L25" s="324">
        <f t="shared" si="1"/>
        <v>0</v>
      </c>
      <c r="M25" s="4"/>
    </row>
    <row r="26" spans="1:16" x14ac:dyDescent="0.3">
      <c r="A26" s="65"/>
      <c r="B26" s="65" t="s">
        <v>101</v>
      </c>
      <c r="C26" s="134">
        <f>'2021 Cash Reserve Summary'!D27</f>
        <v>0</v>
      </c>
      <c r="D26" s="324">
        <v>0</v>
      </c>
      <c r="E26" s="4">
        <v>0</v>
      </c>
      <c r="F26" s="4">
        <f>'DPW Town Dams'!E28</f>
        <v>0</v>
      </c>
      <c r="G26" s="4">
        <f>'DPW Town Dams'!F28</f>
        <v>0</v>
      </c>
      <c r="H26" s="4">
        <f>'DPW Town Dams'!G28</f>
        <v>0</v>
      </c>
      <c r="I26" s="4">
        <f>'DPW Town Dams'!H28</f>
        <v>0</v>
      </c>
      <c r="J26" s="180"/>
      <c r="K26" s="324">
        <f>'2021 Cash Reserve Summary'!E27</f>
        <v>0</v>
      </c>
      <c r="L26" s="324">
        <f t="shared" si="1"/>
        <v>0</v>
      </c>
      <c r="M26" s="4"/>
    </row>
    <row r="27" spans="1:16" x14ac:dyDescent="0.3">
      <c r="A27" s="65"/>
      <c r="B27" s="65" t="s">
        <v>102</v>
      </c>
      <c r="C27" s="134">
        <f>'2021 Cash Reserve Summary'!D28</f>
        <v>3000</v>
      </c>
      <c r="D27" s="324">
        <f>'PD Other'!C20</f>
        <v>3000</v>
      </c>
      <c r="E27" s="4">
        <f>'PD Other'!D20</f>
        <v>3000</v>
      </c>
      <c r="F27" s="4">
        <f>'PD Other'!E20</f>
        <v>3000</v>
      </c>
      <c r="G27" s="4">
        <f>'PD Other'!F20</f>
        <v>3000</v>
      </c>
      <c r="H27" s="4">
        <f>'PD Other'!G20</f>
        <v>3000</v>
      </c>
      <c r="I27" s="4">
        <f>'PD Other'!H20</f>
        <v>3000</v>
      </c>
      <c r="J27" s="180"/>
      <c r="K27" s="324">
        <f>'2021 Cash Reserve Summary'!E28</f>
        <v>3000</v>
      </c>
      <c r="L27" s="324">
        <f t="shared" si="1"/>
        <v>0</v>
      </c>
      <c r="M27" s="4"/>
    </row>
    <row r="28" spans="1:16" x14ac:dyDescent="0.3">
      <c r="A28" s="65"/>
      <c r="B28" s="65" t="s">
        <v>89</v>
      </c>
      <c r="C28" s="134">
        <f>'2021 Cash Reserve Summary'!D29</f>
        <v>3000</v>
      </c>
      <c r="D28" s="324">
        <f>'PD Other'!C26</f>
        <v>3000</v>
      </c>
      <c r="E28" s="4">
        <f>'PD Other'!D26</f>
        <v>3000</v>
      </c>
      <c r="F28" s="4">
        <f>'PD Other'!E26</f>
        <v>3000</v>
      </c>
      <c r="G28" s="4">
        <f>'PD Other'!F26</f>
        <v>3000</v>
      </c>
      <c r="H28" s="4">
        <f>'PD Other'!G26</f>
        <v>3000</v>
      </c>
      <c r="I28" s="4">
        <f>'PD Other'!H26</f>
        <v>3000</v>
      </c>
      <c r="J28" s="180"/>
      <c r="K28" s="324">
        <f>'2021 Cash Reserve Summary'!E29</f>
        <v>3000</v>
      </c>
      <c r="L28" s="324">
        <f t="shared" si="1"/>
        <v>0</v>
      </c>
      <c r="M28" s="4"/>
    </row>
    <row r="29" spans="1:16" s="319" customFormat="1" x14ac:dyDescent="0.3">
      <c r="A29" s="65"/>
      <c r="B29" s="65"/>
      <c r="C29" s="134"/>
      <c r="D29" s="324"/>
      <c r="E29" s="324"/>
      <c r="F29" s="324"/>
      <c r="G29" s="324"/>
      <c r="H29" s="324"/>
      <c r="I29" s="324"/>
      <c r="J29" s="324"/>
      <c r="K29" s="324">
        <f>'2021 Cash Reserve Summary'!E30</f>
        <v>0</v>
      </c>
      <c r="L29" s="324">
        <f t="shared" ref="L29:L47" si="2">D29-K29</f>
        <v>0</v>
      </c>
      <c r="M29" s="324"/>
      <c r="N29" s="324"/>
      <c r="P29" s="324"/>
    </row>
    <row r="30" spans="1:16" s="319" customFormat="1" ht="15.6" x14ac:dyDescent="0.45">
      <c r="A30" s="620" t="s">
        <v>21</v>
      </c>
      <c r="B30" s="620"/>
      <c r="C30" s="377">
        <v>2020</v>
      </c>
      <c r="D30" s="376">
        <f t="shared" ref="D30" si="3">1+C30</f>
        <v>2021</v>
      </c>
      <c r="E30" s="376">
        <f t="shared" ref="E30" si="4">1+D30</f>
        <v>2022</v>
      </c>
      <c r="F30" s="376">
        <f t="shared" ref="F30" si="5">1+E30</f>
        <v>2023</v>
      </c>
      <c r="G30" s="376">
        <f t="shared" ref="G30" si="6">1+F30</f>
        <v>2024</v>
      </c>
      <c r="H30" s="376">
        <f t="shared" ref="H30" si="7">1+G30</f>
        <v>2025</v>
      </c>
      <c r="I30" s="376">
        <f t="shared" ref="I30" si="8">1+H30</f>
        <v>2026</v>
      </c>
      <c r="J30" s="324"/>
      <c r="K30" s="324"/>
      <c r="L30" s="324"/>
      <c r="M30" s="324"/>
      <c r="N30" s="324"/>
      <c r="P30" s="324"/>
    </row>
    <row r="31" spans="1:16" x14ac:dyDescent="0.3">
      <c r="A31" s="65" t="s">
        <v>103</v>
      </c>
      <c r="B31" s="65"/>
      <c r="C31" s="134"/>
      <c r="D31" s="324"/>
      <c r="E31" s="4"/>
      <c r="F31" s="4"/>
      <c r="G31" s="4"/>
      <c r="H31" s="4"/>
      <c r="I31" s="4"/>
      <c r="J31" s="180"/>
      <c r="K31" s="324"/>
      <c r="L31" s="324"/>
      <c r="M31" s="4"/>
    </row>
    <row r="32" spans="1:16" x14ac:dyDescent="0.3">
      <c r="A32" s="65"/>
      <c r="B32" s="65" t="str">
        <f>'2021 Cash Reserve Summary'!B31</f>
        <v>Repairs &amp; Expansion</v>
      </c>
      <c r="C32" s="134">
        <f>'2021 Cash Reserve Summary'!D31</f>
        <v>0</v>
      </c>
      <c r="D32" s="324">
        <f>'Town Hall Expansion-Repairs'!C22</f>
        <v>0</v>
      </c>
      <c r="E32" s="4">
        <f>'Town Hall Expansion-Repairs'!D22</f>
        <v>0</v>
      </c>
      <c r="F32" s="4">
        <f>'Town Hall Expansion-Repairs'!E22</f>
        <v>0</v>
      </c>
      <c r="G32" s="4">
        <f>'Town Hall Expansion-Repairs'!F22</f>
        <v>0</v>
      </c>
      <c r="H32" s="4">
        <f>'Town Hall Expansion-Repairs'!G22</f>
        <v>0</v>
      </c>
      <c r="I32" s="4">
        <f>'Town Hall Expansion-Repairs'!H22</f>
        <v>0</v>
      </c>
      <c r="J32" s="180"/>
      <c r="K32" s="324">
        <f>'2021 Cash Reserve Summary'!E31</f>
        <v>0</v>
      </c>
      <c r="L32" s="324">
        <f t="shared" si="2"/>
        <v>0</v>
      </c>
      <c r="M32" s="4"/>
    </row>
    <row r="33" spans="1:16" x14ac:dyDescent="0.3">
      <c r="A33" s="65"/>
      <c r="B33" s="65" t="s">
        <v>102</v>
      </c>
      <c r="C33" s="134">
        <f>'2021 Cash Reserve Summary'!D32</f>
        <v>15000</v>
      </c>
      <c r="D33" s="324">
        <f>'Town IMS'!C16</f>
        <v>10000</v>
      </c>
      <c r="E33" s="4">
        <f>'Town IMS'!D16</f>
        <v>10000</v>
      </c>
      <c r="F33" s="4">
        <f>'Town IMS'!E16</f>
        <v>10000</v>
      </c>
      <c r="G33" s="4">
        <f>'Town IMS'!F16</f>
        <v>10000</v>
      </c>
      <c r="H33" s="4">
        <f>'Town IMS'!G16</f>
        <v>10000</v>
      </c>
      <c r="I33" s="4">
        <f>'Town IMS'!H16</f>
        <v>10000</v>
      </c>
      <c r="J33" s="180"/>
      <c r="K33" s="324">
        <f>'2021 Cash Reserve Summary'!E32</f>
        <v>10000</v>
      </c>
      <c r="L33" s="324">
        <f t="shared" si="2"/>
        <v>0</v>
      </c>
    </row>
    <row r="34" spans="1:16" s="319" customFormat="1" x14ac:dyDescent="0.3">
      <c r="A34" s="65" t="s">
        <v>332</v>
      </c>
      <c r="B34" s="65"/>
      <c r="C34" s="134">
        <v>0</v>
      </c>
      <c r="D34" s="324">
        <f>'Rail Trails'!C16</f>
        <v>0</v>
      </c>
      <c r="E34" s="324">
        <f>'Rail Trails'!D16</f>
        <v>0</v>
      </c>
      <c r="F34" s="324">
        <f>'Rail Trails'!E16</f>
        <v>0</v>
      </c>
      <c r="G34" s="324">
        <f>'Rail Trails'!F16</f>
        <v>0</v>
      </c>
      <c r="H34" s="324">
        <f>'Rail Trails'!G16</f>
        <v>0</v>
      </c>
      <c r="I34" s="324">
        <f>'Rail Trails'!H16</f>
        <v>0</v>
      </c>
      <c r="J34" s="324"/>
      <c r="K34" s="324">
        <f>'2021 Cash Reserve Summary'!E33</f>
        <v>0</v>
      </c>
      <c r="L34" s="324">
        <f t="shared" si="2"/>
        <v>0</v>
      </c>
      <c r="N34" s="324"/>
      <c r="P34" s="324"/>
    </row>
    <row r="35" spans="1:16" x14ac:dyDescent="0.3">
      <c r="A35" s="65" t="s">
        <v>107</v>
      </c>
      <c r="B35" s="65"/>
      <c r="C35" s="134">
        <f>'2021 Cash Reserve Summary'!D34</f>
        <v>10000</v>
      </c>
      <c r="D35" s="324">
        <f>Recreation!C21</f>
        <v>10000</v>
      </c>
      <c r="E35" s="4">
        <f>Recreation!D21</f>
        <v>10000</v>
      </c>
      <c r="F35" s="4">
        <f>Recreation!E21</f>
        <v>10000</v>
      </c>
      <c r="G35" s="4">
        <f>Recreation!F21</f>
        <v>10000</v>
      </c>
      <c r="H35" s="4">
        <f>Recreation!G21</f>
        <v>10000</v>
      </c>
      <c r="I35" s="4">
        <f>Recreation!H21</f>
        <v>10000</v>
      </c>
      <c r="J35" s="180"/>
      <c r="K35" s="324">
        <f>'2021 Cash Reserve Summary'!E34</f>
        <v>10000</v>
      </c>
      <c r="L35" s="324">
        <f t="shared" si="2"/>
        <v>0</v>
      </c>
    </row>
    <row r="36" spans="1:16" x14ac:dyDescent="0.3">
      <c r="A36" s="65" t="s">
        <v>108</v>
      </c>
      <c r="B36" s="65"/>
      <c r="C36" s="134"/>
      <c r="D36" s="324"/>
      <c r="E36" s="4"/>
      <c r="F36" s="4"/>
      <c r="G36" s="4"/>
      <c r="H36" s="4"/>
      <c r="I36" s="4"/>
      <c r="J36" s="180"/>
      <c r="K36" s="324">
        <f>'2021 Cash Reserve Summary'!E35</f>
        <v>0</v>
      </c>
      <c r="L36" s="324">
        <f t="shared" si="2"/>
        <v>0</v>
      </c>
    </row>
    <row r="37" spans="1:16" x14ac:dyDescent="0.3">
      <c r="A37" s="65"/>
      <c r="B37" s="65" t="s">
        <v>109</v>
      </c>
      <c r="C37" s="134">
        <f>'2021 Cash Reserve Summary'!D36</f>
        <v>0</v>
      </c>
      <c r="D37" s="324">
        <f>Recycling!C25</f>
        <v>50000</v>
      </c>
      <c r="E37" s="324">
        <f>Recycling!D25</f>
        <v>50000</v>
      </c>
      <c r="F37" s="324">
        <f>Recycling!E25</f>
        <v>50000</v>
      </c>
      <c r="G37" s="324">
        <f>Recycling!F25</f>
        <v>50000</v>
      </c>
      <c r="H37" s="324">
        <f>Recycling!G25</f>
        <v>50000</v>
      </c>
      <c r="I37" s="324">
        <f>Recycling!H25</f>
        <v>50000</v>
      </c>
      <c r="J37" s="180"/>
      <c r="K37" s="324">
        <f>'2021 Cash Reserve Summary'!E36</f>
        <v>50000</v>
      </c>
      <c r="L37" s="324">
        <f t="shared" si="2"/>
        <v>0</v>
      </c>
    </row>
    <row r="38" spans="1:16" x14ac:dyDescent="0.3">
      <c r="A38" s="65"/>
      <c r="B38" s="65" t="s">
        <v>110</v>
      </c>
      <c r="C38" s="134">
        <f>'2021 Cash Reserve Summary'!D37</f>
        <v>0</v>
      </c>
      <c r="D38" s="36">
        <v>0</v>
      </c>
      <c r="E38" s="36">
        <v>0</v>
      </c>
      <c r="F38" s="36">
        <v>0</v>
      </c>
      <c r="G38" s="36">
        <v>0</v>
      </c>
      <c r="H38" s="36">
        <v>0</v>
      </c>
      <c r="I38" s="36">
        <v>0</v>
      </c>
      <c r="J38" s="36"/>
      <c r="K38" s="324">
        <f>'2021 Cash Reserve Summary'!E37</f>
        <v>0</v>
      </c>
      <c r="L38" s="324">
        <f t="shared" si="2"/>
        <v>0</v>
      </c>
    </row>
    <row r="39" spans="1:16" x14ac:dyDescent="0.3">
      <c r="A39" s="65" t="s">
        <v>119</v>
      </c>
      <c r="B39" s="65"/>
      <c r="C39" s="134"/>
      <c r="D39" s="319"/>
      <c r="K39" s="324">
        <f>'2021 Cash Reserve Summary'!E38</f>
        <v>0</v>
      </c>
      <c r="L39" s="324">
        <f t="shared" si="2"/>
        <v>0</v>
      </c>
    </row>
    <row r="40" spans="1:16" x14ac:dyDescent="0.3">
      <c r="A40" s="65"/>
      <c r="B40" s="65" t="s">
        <v>334</v>
      </c>
      <c r="C40" s="134">
        <f>'2021 Cash Reserve Summary'!D39</f>
        <v>3000</v>
      </c>
      <c r="D40" s="324">
        <f>'Lib-MCUL'!C22</f>
        <v>3000</v>
      </c>
      <c r="E40" s="4">
        <f>'Lib-MCUL'!D22</f>
        <v>3000</v>
      </c>
      <c r="F40" s="4">
        <f>'Lib-MCUL'!E22</f>
        <v>3000</v>
      </c>
      <c r="G40" s="4">
        <f>'Lib-MCUL'!F22</f>
        <v>3000</v>
      </c>
      <c r="H40" s="4">
        <f>'Lib-MCUL'!G22</f>
        <v>3000</v>
      </c>
      <c r="I40" s="4">
        <f>'Lib-MCUL'!H22</f>
        <v>3000</v>
      </c>
      <c r="J40" s="180"/>
      <c r="K40" s="324">
        <f>'2021 Cash Reserve Summary'!E39</f>
        <v>3000</v>
      </c>
      <c r="L40" s="324">
        <f t="shared" si="2"/>
        <v>0</v>
      </c>
    </row>
    <row r="41" spans="1:16" ht="15.6" x14ac:dyDescent="0.45">
      <c r="A41" s="65"/>
      <c r="B41" s="65" t="s">
        <v>56</v>
      </c>
      <c r="C41" s="135">
        <f>'2021 Cash Reserve Summary'!D40</f>
        <v>1000</v>
      </c>
      <c r="D41" s="325">
        <f>'Lib-SFL'!C19</f>
        <v>1000</v>
      </c>
      <c r="E41" s="325">
        <f>'Lib-SFL'!D19</f>
        <v>1000</v>
      </c>
      <c r="F41" s="325">
        <f>'Lib-SFL'!E19</f>
        <v>1000</v>
      </c>
      <c r="G41" s="325">
        <f>'Lib-SFL'!F19</f>
        <v>1000</v>
      </c>
      <c r="H41" s="325">
        <f>'Lib-SFL'!G19</f>
        <v>1000</v>
      </c>
      <c r="I41" s="325">
        <f>'Lib-SFL'!H19</f>
        <v>1000</v>
      </c>
      <c r="J41" s="193"/>
      <c r="K41" s="324">
        <f>'2021 Cash Reserve Summary'!E40</f>
        <v>1000</v>
      </c>
      <c r="L41" s="324">
        <f t="shared" si="2"/>
        <v>0</v>
      </c>
    </row>
    <row r="42" spans="1:16" ht="15.6" x14ac:dyDescent="0.45">
      <c r="A42" s="65"/>
      <c r="B42" s="65"/>
      <c r="C42" s="135">
        <f>SUM(C5:C28)+SUM(C32:C41)</f>
        <v>495000</v>
      </c>
      <c r="D42" s="71">
        <f t="shared" ref="D42:I42" si="9">SUM(D5:D28)+SUM(D32:D41)</f>
        <v>590000</v>
      </c>
      <c r="E42" s="71">
        <f t="shared" si="9"/>
        <v>650000</v>
      </c>
      <c r="F42" s="71">
        <f t="shared" si="9"/>
        <v>715000</v>
      </c>
      <c r="G42" s="71">
        <f t="shared" si="9"/>
        <v>715000</v>
      </c>
      <c r="H42" s="71">
        <f t="shared" si="9"/>
        <v>710000</v>
      </c>
      <c r="I42" s="71">
        <f t="shared" si="9"/>
        <v>710000</v>
      </c>
      <c r="J42" s="193"/>
      <c r="K42" s="324"/>
      <c r="L42" s="324"/>
    </row>
    <row r="43" spans="1:16" x14ac:dyDescent="0.3">
      <c r="A43" s="65" t="s">
        <v>93</v>
      </c>
      <c r="B43" s="65"/>
      <c r="C43" s="134"/>
      <c r="D43" s="324"/>
      <c r="E43" s="4"/>
      <c r="F43" s="4"/>
      <c r="K43" s="324"/>
      <c r="L43" s="324"/>
    </row>
    <row r="44" spans="1:16" x14ac:dyDescent="0.3">
      <c r="A44" s="65"/>
      <c r="B44" s="65" t="s">
        <v>24</v>
      </c>
      <c r="C44" s="134">
        <f>'2021 Cash Reserve Summary'!D43</f>
        <v>0</v>
      </c>
      <c r="D44" s="324">
        <f>CH!C17</f>
        <v>0</v>
      </c>
      <c r="E44" s="4">
        <f>CH!D17</f>
        <v>0</v>
      </c>
      <c r="F44" s="4">
        <f>CH!E17</f>
        <v>0</v>
      </c>
      <c r="G44" s="4">
        <f>CH!F17</f>
        <v>0</v>
      </c>
      <c r="H44" s="4">
        <f>CH!G17</f>
        <v>0</v>
      </c>
      <c r="I44" s="4">
        <f>CH!H17</f>
        <v>0</v>
      </c>
      <c r="J44" s="180"/>
      <c r="K44" s="324">
        <f>'2021 Cash Reserve Summary'!E45</f>
        <v>5000</v>
      </c>
      <c r="L44" s="324">
        <f t="shared" si="2"/>
        <v>-5000</v>
      </c>
    </row>
    <row r="45" spans="1:16" x14ac:dyDescent="0.3">
      <c r="A45" s="65"/>
      <c r="B45" s="65" t="s">
        <v>124</v>
      </c>
      <c r="C45" s="134">
        <f>'2021 Cash Reserve Summary'!D44</f>
        <v>0</v>
      </c>
      <c r="D45" s="324">
        <f>'Cons. Land Acq'!C15</f>
        <v>0</v>
      </c>
      <c r="E45" s="239">
        <f>'Cons. Land Acq'!D15</f>
        <v>0</v>
      </c>
      <c r="F45" s="239">
        <f>'Cons. Land Acq'!E15</f>
        <v>0</v>
      </c>
      <c r="G45" s="239">
        <f>'Cons. Land Acq'!F15</f>
        <v>0</v>
      </c>
      <c r="H45" s="239">
        <f>'Cons. Land Acq'!G15</f>
        <v>0</v>
      </c>
      <c r="I45" s="239">
        <f>'Cons. Land Acq'!H15</f>
        <v>0</v>
      </c>
      <c r="J45" s="180"/>
      <c r="K45" s="324">
        <f>'2021 Cash Reserve Summary'!E46</f>
        <v>0</v>
      </c>
      <c r="L45" s="324">
        <f t="shared" si="2"/>
        <v>0</v>
      </c>
    </row>
    <row r="46" spans="1:16" s="319" customFormat="1" x14ac:dyDescent="0.3">
      <c r="A46" s="65"/>
      <c r="B46" s="65" t="s">
        <v>331</v>
      </c>
      <c r="C46" s="134">
        <v>17000</v>
      </c>
      <c r="D46" s="324">
        <f>'2021 Cash Reserve Summary'!E45</f>
        <v>5000</v>
      </c>
      <c r="E46" s="324">
        <f>Grange!D15</f>
        <v>0</v>
      </c>
      <c r="F46" s="324">
        <f>Grange!E15</f>
        <v>0</v>
      </c>
      <c r="G46" s="324">
        <f>Grange!F15</f>
        <v>0</v>
      </c>
      <c r="H46" s="324">
        <f>Grange!G15</f>
        <v>0</v>
      </c>
      <c r="I46" s="324">
        <f>Grange!H15</f>
        <v>0</v>
      </c>
      <c r="J46" s="324"/>
      <c r="K46" s="324">
        <f>'2021 Cash Reserve Summary'!E47</f>
        <v>5000</v>
      </c>
      <c r="L46" s="324">
        <f t="shared" si="2"/>
        <v>0</v>
      </c>
      <c r="N46" s="324"/>
    </row>
    <row r="47" spans="1:16" ht="15.6" x14ac:dyDescent="0.45">
      <c r="A47" s="65"/>
      <c r="B47" s="65" t="s">
        <v>118</v>
      </c>
      <c r="C47" s="135">
        <v>0</v>
      </c>
      <c r="D47" s="325">
        <f t="shared" ref="D47:I47" si="10">SUM(D44:D45)</f>
        <v>0</v>
      </c>
      <c r="E47" s="56">
        <f t="shared" si="10"/>
        <v>0</v>
      </c>
      <c r="F47" s="56">
        <f t="shared" si="10"/>
        <v>0</v>
      </c>
      <c r="G47" s="56">
        <f t="shared" si="10"/>
        <v>0</v>
      </c>
      <c r="H47" s="56">
        <f t="shared" si="10"/>
        <v>0</v>
      </c>
      <c r="I47" s="56">
        <f t="shared" si="10"/>
        <v>0</v>
      </c>
      <c r="J47" s="193"/>
      <c r="K47" s="324">
        <f>'2021 Cash Reserve Summary'!E48</f>
        <v>0</v>
      </c>
      <c r="L47" s="324">
        <f t="shared" si="2"/>
        <v>0</v>
      </c>
    </row>
    <row r="48" spans="1:16" s="176" customFormat="1" ht="15.6" x14ac:dyDescent="0.45">
      <c r="C48" s="135">
        <f>SUM(C44:C47)</f>
        <v>17000</v>
      </c>
      <c r="D48" s="71">
        <f t="shared" ref="D48:I48" si="11">SUM(D44:D47)</f>
        <v>5000</v>
      </c>
      <c r="E48" s="71">
        <f t="shared" si="11"/>
        <v>0</v>
      </c>
      <c r="F48" s="71">
        <f t="shared" si="11"/>
        <v>0</v>
      </c>
      <c r="G48" s="71">
        <f t="shared" si="11"/>
        <v>0</v>
      </c>
      <c r="H48" s="71">
        <f t="shared" si="11"/>
        <v>0</v>
      </c>
      <c r="I48" s="71">
        <f t="shared" si="11"/>
        <v>0</v>
      </c>
      <c r="J48" s="193"/>
      <c r="K48" s="193"/>
      <c r="L48" s="180"/>
      <c r="N48" s="180"/>
    </row>
    <row r="49" spans="1:20" s="176" customFormat="1" ht="21.75" customHeight="1" x14ac:dyDescent="0.45">
      <c r="B49" s="321" t="s">
        <v>720</v>
      </c>
      <c r="C49" s="390">
        <f>C42+C48</f>
        <v>512000</v>
      </c>
      <c r="D49" s="390">
        <f t="shared" ref="D49:I49" si="12">D42+D48</f>
        <v>595000</v>
      </c>
      <c r="E49" s="390">
        <f t="shared" si="12"/>
        <v>650000</v>
      </c>
      <c r="F49" s="390">
        <f t="shared" si="12"/>
        <v>715000</v>
      </c>
      <c r="G49" s="390">
        <f t="shared" si="12"/>
        <v>715000</v>
      </c>
      <c r="H49" s="390">
        <f t="shared" si="12"/>
        <v>710000</v>
      </c>
      <c r="I49" s="390">
        <f t="shared" si="12"/>
        <v>710000</v>
      </c>
      <c r="J49" s="85">
        <f>D49-C49</f>
        <v>83000</v>
      </c>
      <c r="K49" s="85">
        <f>'2021 Cash Reserve Summary'!F49</f>
        <v>83000</v>
      </c>
      <c r="L49" s="323">
        <f>K49-J49</f>
        <v>0</v>
      </c>
      <c r="M49" s="6"/>
      <c r="N49" s="180"/>
      <c r="P49" s="180"/>
    </row>
    <row r="50" spans="1:20" s="37" customFormat="1" x14ac:dyDescent="0.3">
      <c r="C50" s="70"/>
      <c r="D50" s="324">
        <f>D49-'2021 Cash Reserve Summary'!E49</f>
        <v>0</v>
      </c>
      <c r="E50" s="180"/>
      <c r="F50" s="180"/>
      <c r="G50" s="180"/>
      <c r="H50" s="180"/>
      <c r="I50" s="180"/>
      <c r="J50" s="180"/>
      <c r="K50" s="180"/>
      <c r="L50" s="180"/>
      <c r="M50" s="180"/>
      <c r="N50" s="180"/>
      <c r="P50" s="180"/>
    </row>
    <row r="51" spans="1:20" s="176" customFormat="1" ht="17.399999999999999" x14ac:dyDescent="0.45">
      <c r="A51" s="620" t="s">
        <v>21</v>
      </c>
      <c r="B51" s="620"/>
      <c r="C51" s="375">
        <v>2020</v>
      </c>
      <c r="D51" s="376">
        <f>1+C51</f>
        <v>2021</v>
      </c>
      <c r="E51" s="376">
        <f>1+D51</f>
        <v>2022</v>
      </c>
      <c r="F51" s="376">
        <f t="shared" ref="F51" si="13">1+E51</f>
        <v>2023</v>
      </c>
      <c r="G51" s="376">
        <f t="shared" ref="G51" si="14">1+F51</f>
        <v>2024</v>
      </c>
      <c r="H51" s="376">
        <f t="shared" ref="H51" si="15">1+G51</f>
        <v>2025</v>
      </c>
      <c r="I51" s="376">
        <f t="shared" ref="I51" si="16">1+H51</f>
        <v>2026</v>
      </c>
      <c r="J51" s="197" t="s">
        <v>196</v>
      </c>
      <c r="K51" s="197"/>
      <c r="L51" s="180"/>
      <c r="M51" s="180"/>
      <c r="N51" s="180"/>
    </row>
    <row r="52" spans="1:20" s="176" customFormat="1" ht="15.6" x14ac:dyDescent="0.45">
      <c r="A52" s="321" t="s">
        <v>370</v>
      </c>
      <c r="B52" s="102"/>
      <c r="C52" s="136"/>
      <c r="D52" s="289"/>
      <c r="E52" s="63"/>
      <c r="F52" s="4"/>
      <c r="G52" s="102"/>
      <c r="H52" s="102"/>
      <c r="I52" s="102"/>
      <c r="L52" s="43"/>
      <c r="M52" s="321"/>
      <c r="N52" s="378" t="s">
        <v>197</v>
      </c>
      <c r="O52" s="269" t="s">
        <v>257</v>
      </c>
      <c r="P52" s="269" t="s">
        <v>206</v>
      </c>
    </row>
    <row r="53" spans="1:20" ht="15.6" x14ac:dyDescent="0.45">
      <c r="A53" s="65" t="s">
        <v>371</v>
      </c>
      <c r="B53" s="176"/>
      <c r="C53" s="136"/>
      <c r="D53" s="289"/>
      <c r="E53" s="63"/>
      <c r="F53" s="180"/>
      <c r="G53" s="176"/>
      <c r="H53" s="176"/>
      <c r="I53" s="176"/>
      <c r="L53" s="379" t="s">
        <v>211</v>
      </c>
      <c r="M53" s="379" t="s">
        <v>47</v>
      </c>
      <c r="N53" s="379" t="s">
        <v>501</v>
      </c>
      <c r="O53" s="379" t="s">
        <v>195</v>
      </c>
      <c r="P53" s="379" t="s">
        <v>207</v>
      </c>
    </row>
    <row r="54" spans="1:20" s="176" customFormat="1" x14ac:dyDescent="0.3">
      <c r="A54" s="37"/>
      <c r="B54" s="102" t="s">
        <v>694</v>
      </c>
      <c r="C54" s="143">
        <v>32164</v>
      </c>
      <c r="D54" s="46">
        <v>0</v>
      </c>
      <c r="E54" s="46">
        <v>0</v>
      </c>
      <c r="F54" s="4">
        <v>0</v>
      </c>
      <c r="G54" s="4">
        <v>0</v>
      </c>
      <c r="H54" s="4">
        <v>0</v>
      </c>
      <c r="I54" s="180">
        <v>0</v>
      </c>
      <c r="J54" s="373" t="s">
        <v>188</v>
      </c>
      <c r="K54" s="198"/>
    </row>
    <row r="55" spans="1:20" x14ac:dyDescent="0.3">
      <c r="B55" s="102" t="s">
        <v>120</v>
      </c>
      <c r="C55" s="143">
        <f>3929.17*12</f>
        <v>47150.04</v>
      </c>
      <c r="D55" s="324">
        <f t="shared" ref="D55:I55" si="17">3929.17*12</f>
        <v>47150.04</v>
      </c>
      <c r="E55" s="4">
        <f t="shared" si="17"/>
        <v>47150.04</v>
      </c>
      <c r="F55" s="4">
        <f t="shared" si="17"/>
        <v>47150.04</v>
      </c>
      <c r="G55" s="4">
        <f t="shared" si="17"/>
        <v>47150.04</v>
      </c>
      <c r="H55" s="4">
        <f t="shared" si="17"/>
        <v>47150.04</v>
      </c>
      <c r="I55" s="4">
        <f t="shared" si="17"/>
        <v>47150.04</v>
      </c>
      <c r="J55" s="373"/>
      <c r="K55" s="198"/>
      <c r="L55" s="319"/>
      <c r="M55" s="319"/>
      <c r="N55" s="319"/>
      <c r="O55" s="319"/>
      <c r="P55" s="319"/>
      <c r="Q55" s="319"/>
      <c r="R55" s="319"/>
      <c r="T55" s="92"/>
    </row>
    <row r="56" spans="1:20" x14ac:dyDescent="0.3">
      <c r="B56" s="102" t="s">
        <v>335</v>
      </c>
      <c r="C56" s="362">
        <v>77807</v>
      </c>
      <c r="D56" s="324">
        <v>75770</v>
      </c>
      <c r="E56" s="4">
        <v>73220</v>
      </c>
      <c r="F56" s="4">
        <v>72737</v>
      </c>
      <c r="G56" s="4">
        <v>74805</v>
      </c>
      <c r="H56" s="4">
        <v>76617</v>
      </c>
      <c r="I56" s="4">
        <v>73302</v>
      </c>
      <c r="J56" s="83" t="str">
        <f t="shared" ref="J56:J61" si="18">B54</f>
        <v>2011 - SCBA Lease</v>
      </c>
      <c r="K56" s="80"/>
      <c r="L56" s="195">
        <v>7</v>
      </c>
      <c r="M56" s="196">
        <v>0.03</v>
      </c>
      <c r="N56" s="180">
        <v>200742</v>
      </c>
      <c r="O56" s="46">
        <f>E54</f>
        <v>0</v>
      </c>
      <c r="P56" s="195">
        <v>2020</v>
      </c>
      <c r="T56" s="92"/>
    </row>
    <row r="57" spans="1:20" x14ac:dyDescent="0.3">
      <c r="B57" s="102" t="s">
        <v>187</v>
      </c>
      <c r="C57" s="143">
        <v>7000</v>
      </c>
      <c r="D57" s="324">
        <v>14000</v>
      </c>
      <c r="E57" s="180">
        <v>14000</v>
      </c>
      <c r="F57" s="180">
        <v>14000</v>
      </c>
      <c r="G57" s="180">
        <v>7000</v>
      </c>
      <c r="H57" s="4">
        <v>0</v>
      </c>
      <c r="I57" s="4">
        <v>0</v>
      </c>
      <c r="J57" s="83" t="str">
        <f t="shared" si="18"/>
        <v>2017 - Police Station</v>
      </c>
      <c r="K57" s="80"/>
      <c r="L57" s="195">
        <v>10</v>
      </c>
      <c r="M57" s="196">
        <v>0.03</v>
      </c>
      <c r="N57" s="180">
        <v>415000</v>
      </c>
      <c r="O57" s="46">
        <f>E55</f>
        <v>47150.04</v>
      </c>
      <c r="P57" s="195" t="s">
        <v>696</v>
      </c>
      <c r="R57" s="46"/>
    </row>
    <row r="58" spans="1:20" x14ac:dyDescent="0.3">
      <c r="A58" s="319"/>
      <c r="B58" s="37" t="s">
        <v>224</v>
      </c>
      <c r="C58" s="143">
        <v>102109</v>
      </c>
      <c r="D58" s="341">
        <v>95840</v>
      </c>
      <c r="E58" s="341">
        <v>98545</v>
      </c>
      <c r="F58" s="341">
        <v>96640</v>
      </c>
      <c r="G58" s="341">
        <v>97835</v>
      </c>
      <c r="H58" s="341">
        <v>99775</v>
      </c>
      <c r="I58" s="341">
        <v>96460</v>
      </c>
      <c r="J58" s="83" t="str">
        <f t="shared" si="18"/>
        <v>2018 - Fire Truck/Dams</v>
      </c>
      <c r="K58" s="80"/>
      <c r="L58" s="195">
        <v>10</v>
      </c>
      <c r="M58" s="196">
        <v>3.5000000000000003E-2</v>
      </c>
      <c r="N58" s="180">
        <v>680000</v>
      </c>
      <c r="O58" s="46">
        <f>E56</f>
        <v>73220</v>
      </c>
      <c r="P58" s="195">
        <v>2029</v>
      </c>
    </row>
    <row r="59" spans="1:20" s="176" customFormat="1" ht="15.6" x14ac:dyDescent="0.45">
      <c r="A59" s="319"/>
      <c r="B59" s="326" t="s">
        <v>328</v>
      </c>
      <c r="C59" s="144">
        <f>0.5*D59</f>
        <v>48110.346550855844</v>
      </c>
      <c r="D59" s="325">
        <f>E59</f>
        <v>96220.693101711688</v>
      </c>
      <c r="E59" s="325">
        <f>O61</f>
        <v>96220.693101711688</v>
      </c>
      <c r="F59" s="325">
        <f t="shared" ref="F59:I59" si="19">E59</f>
        <v>96220.693101711688</v>
      </c>
      <c r="G59" s="325">
        <f t="shared" si="19"/>
        <v>96220.693101711688</v>
      </c>
      <c r="H59" s="325">
        <f t="shared" si="19"/>
        <v>96220.693101711688</v>
      </c>
      <c r="I59" s="325">
        <f t="shared" si="19"/>
        <v>96220.693101711688</v>
      </c>
      <c r="J59" s="83" t="str">
        <f t="shared" si="18"/>
        <v>2018 - Cardiac Monitors</v>
      </c>
      <c r="K59" s="80"/>
      <c r="L59" s="195">
        <f>'Fire Tools'!D27</f>
        <v>5</v>
      </c>
      <c r="M59" s="196">
        <f>'Fire Tools'!D28</f>
        <v>0.03</v>
      </c>
      <c r="N59" s="180">
        <f>'Fire Tools'!D26</f>
        <v>35000</v>
      </c>
      <c r="O59" s="46">
        <f>E57</f>
        <v>14000</v>
      </c>
      <c r="P59" s="195">
        <v>2023</v>
      </c>
      <c r="Q59" s="102"/>
      <c r="R59" s="102"/>
    </row>
    <row r="60" spans="1:20" ht="15.6" x14ac:dyDescent="0.45">
      <c r="C60" s="144">
        <f t="shared" ref="C60:I60" si="20">SUM(C54:C59)</f>
        <v>314340.38655085588</v>
      </c>
      <c r="D60" s="242">
        <f t="shared" si="20"/>
        <v>328980.73310171172</v>
      </c>
      <c r="E60" s="242">
        <f t="shared" si="20"/>
        <v>329135.73310171172</v>
      </c>
      <c r="F60" s="242">
        <f t="shared" si="20"/>
        <v>326747.73310171172</v>
      </c>
      <c r="G60" s="242">
        <f t="shared" si="20"/>
        <v>323010.73310171172</v>
      </c>
      <c r="H60" s="242">
        <f t="shared" si="20"/>
        <v>319762.73310171172</v>
      </c>
      <c r="I60" s="242">
        <f t="shared" si="20"/>
        <v>313132.73310171172</v>
      </c>
      <c r="J60" s="83" t="str">
        <f t="shared" si="18"/>
        <v>2019 - Rehab. Roads</v>
      </c>
      <c r="K60" s="80"/>
      <c r="L60" s="195">
        <v>20</v>
      </c>
      <c r="M60" s="196">
        <v>2.5999999999999999E-2</v>
      </c>
      <c r="N60" s="180">
        <v>1500000</v>
      </c>
      <c r="O60" s="46">
        <f>-PMT(M60,L60,N60)</f>
        <v>97131.950257077944</v>
      </c>
      <c r="P60" s="195">
        <v>2038</v>
      </c>
      <c r="Q60" s="176"/>
      <c r="R60" s="176"/>
      <c r="T60" s="193"/>
    </row>
    <row r="61" spans="1:20" s="176" customFormat="1" ht="15.6" x14ac:dyDescent="0.45">
      <c r="A61" s="99" t="s">
        <v>363</v>
      </c>
      <c r="B61" s="326"/>
      <c r="C61" s="194"/>
      <c r="D61" s="324"/>
      <c r="E61" s="324"/>
      <c r="F61" s="324"/>
      <c r="G61" s="324"/>
      <c r="H61" s="324"/>
      <c r="I61" s="324"/>
      <c r="J61" s="83" t="str">
        <f t="shared" si="18"/>
        <v>2020 - Rehab. Roads</v>
      </c>
      <c r="K61" s="80"/>
      <c r="L61" s="195">
        <v>20</v>
      </c>
      <c r="M61" s="196">
        <v>2.5000000000000001E-2</v>
      </c>
      <c r="N61" s="325">
        <v>1500000</v>
      </c>
      <c r="O61" s="66">
        <f>-PMT(M61,L61,N61)</f>
        <v>96220.693101711688</v>
      </c>
      <c r="P61" s="195">
        <v>2039</v>
      </c>
      <c r="Q61" s="102"/>
      <c r="R61" s="102"/>
    </row>
    <row r="62" spans="1:20" s="37" customFormat="1" ht="15.6" x14ac:dyDescent="0.45">
      <c r="A62" s="65"/>
      <c r="B62" s="392" t="s">
        <v>499</v>
      </c>
      <c r="C62" s="143">
        <v>0</v>
      </c>
      <c r="D62" s="547">
        <f>E62/2</f>
        <v>76528.888980378862</v>
      </c>
      <c r="E62" s="70">
        <f>O65</f>
        <v>153057.77796075772</v>
      </c>
      <c r="F62" s="70">
        <f>O65</f>
        <v>153057.77796075772</v>
      </c>
      <c r="G62" s="70">
        <f>F62</f>
        <v>153057.77796075772</v>
      </c>
      <c r="H62" s="70">
        <f t="shared" ref="H62:I62" si="21">G62</f>
        <v>153057.77796075772</v>
      </c>
      <c r="I62" s="70">
        <f t="shared" si="21"/>
        <v>153057.77796075772</v>
      </c>
      <c r="J62" s="103"/>
      <c r="K62" s="180"/>
      <c r="L62" s="180"/>
      <c r="M62" s="196"/>
      <c r="N62" s="193">
        <f>SUM(N56:N61)</f>
        <v>4330742</v>
      </c>
      <c r="O62" s="193">
        <f>SUM(O56:O61)</f>
        <v>327722.68335878965</v>
      </c>
      <c r="P62" s="180"/>
      <c r="Q62" s="176"/>
      <c r="R62" s="176"/>
    </row>
    <row r="63" spans="1:20" s="326" customFormat="1" x14ac:dyDescent="0.3">
      <c r="A63" s="65"/>
      <c r="B63" s="392" t="s">
        <v>778</v>
      </c>
      <c r="C63" s="143">
        <v>0</v>
      </c>
      <c r="D63" s="70">
        <f>0.5*O66</f>
        <v>19244.138620342335</v>
      </c>
      <c r="E63" s="70">
        <f>O67</f>
        <v>43690.209937958432</v>
      </c>
      <c r="F63" s="70">
        <f>O66</f>
        <v>38488.277240684671</v>
      </c>
      <c r="G63" s="70">
        <f>O66</f>
        <v>38488.277240684671</v>
      </c>
      <c r="H63" s="70">
        <f t="shared" ref="H63:I63" si="22">G63</f>
        <v>38488.277240684671</v>
      </c>
      <c r="I63" s="70">
        <f t="shared" si="22"/>
        <v>38488.277240684671</v>
      </c>
      <c r="J63" s="373" t="s">
        <v>227</v>
      </c>
      <c r="K63" s="198"/>
      <c r="L63" s="176"/>
      <c r="M63" s="196"/>
      <c r="N63" s="180"/>
      <c r="O63" s="176"/>
      <c r="P63" s="180"/>
      <c r="Q63" s="37"/>
      <c r="R63" s="37"/>
    </row>
    <row r="64" spans="1:20" s="326" customFormat="1" x14ac:dyDescent="0.3">
      <c r="A64" s="65"/>
      <c r="B64" s="392" t="s">
        <v>698</v>
      </c>
      <c r="C64" s="143">
        <v>0</v>
      </c>
      <c r="D64" s="70">
        <v>0</v>
      </c>
      <c r="E64" s="70">
        <v>0</v>
      </c>
      <c r="F64" s="70">
        <f>O67/2</f>
        <v>21845.104968979216</v>
      </c>
      <c r="G64" s="70">
        <f>O67</f>
        <v>43690.209937958432</v>
      </c>
      <c r="H64" s="70">
        <f t="shared" ref="H64:I64" si="23">G64</f>
        <v>43690.209937958432</v>
      </c>
      <c r="I64" s="70">
        <f t="shared" si="23"/>
        <v>43690.209937958432</v>
      </c>
      <c r="J64" s="373"/>
      <c r="K64" s="198"/>
      <c r="L64" s="319"/>
      <c r="M64" s="196"/>
      <c r="N64" s="324"/>
      <c r="O64" s="319"/>
      <c r="P64" s="324"/>
    </row>
    <row r="65" spans="1:22" s="176" customFormat="1" x14ac:dyDescent="0.3">
      <c r="A65" s="65"/>
      <c r="B65" s="392" t="s">
        <v>699</v>
      </c>
      <c r="C65" s="143">
        <v>0</v>
      </c>
      <c r="D65" s="70">
        <v>0</v>
      </c>
      <c r="E65" s="70">
        <v>0</v>
      </c>
      <c r="F65" s="70">
        <f>O68/2</f>
        <v>0</v>
      </c>
      <c r="G65" s="70">
        <f>O68</f>
        <v>0</v>
      </c>
      <c r="H65" s="70">
        <f t="shared" ref="H65" si="24">G65</f>
        <v>0</v>
      </c>
      <c r="I65" s="70">
        <f t="shared" ref="I65" si="25">H65</f>
        <v>0</v>
      </c>
      <c r="J65" s="83" t="str">
        <f>B62</f>
        <v>2021 - Station 2</v>
      </c>
      <c r="K65" s="80"/>
      <c r="L65" s="195">
        <v>30</v>
      </c>
      <c r="M65" s="196">
        <v>0.03</v>
      </c>
      <c r="N65" s="46">
        <f>'Fire Sta CR'!C25</f>
        <v>3000000</v>
      </c>
      <c r="O65" s="46">
        <f>-PMT(M65,L65,N65)</f>
        <v>153057.77796075772</v>
      </c>
      <c r="P65" s="37"/>
      <c r="Q65" s="326"/>
      <c r="R65" s="326"/>
    </row>
    <row r="66" spans="1:22" s="176" customFormat="1" x14ac:dyDescent="0.3">
      <c r="B66" s="392" t="s">
        <v>336</v>
      </c>
      <c r="C66" s="194">
        <v>0</v>
      </c>
      <c r="D66" s="70">
        <v>0</v>
      </c>
      <c r="E66" s="70">
        <v>0</v>
      </c>
      <c r="F66" s="70">
        <f>O69</f>
        <v>4865.4486900510637</v>
      </c>
      <c r="G66" s="70">
        <f>F66</f>
        <v>4865.4486900510637</v>
      </c>
      <c r="H66" s="70">
        <f t="shared" ref="H66" si="26">G66</f>
        <v>4865.4486900510637</v>
      </c>
      <c r="I66" s="70">
        <f>H66</f>
        <v>4865.4486900510637</v>
      </c>
      <c r="J66" s="53" t="s">
        <v>777</v>
      </c>
      <c r="K66" s="109"/>
      <c r="L66" s="543">
        <v>20</v>
      </c>
      <c r="M66" s="544">
        <v>2.5000000000000001E-2</v>
      </c>
      <c r="N66" s="217">
        <f>'Fire Trucks'!E24</f>
        <v>600000</v>
      </c>
      <c r="O66" s="545">
        <f>-PMT(M66,L66,N66)</f>
        <v>38488.277240684671</v>
      </c>
      <c r="P66" s="103"/>
      <c r="Q66" s="326"/>
      <c r="R66" s="326"/>
      <c r="S66" s="319"/>
    </row>
    <row r="67" spans="1:22" s="319" customFormat="1" x14ac:dyDescent="0.3">
      <c r="B67" s="392" t="s">
        <v>503</v>
      </c>
      <c r="C67" s="143">
        <v>0</v>
      </c>
      <c r="D67" s="70">
        <f>'Town Hall Expansion-Repairs'!C30</f>
        <v>0</v>
      </c>
      <c r="E67" s="70">
        <f>'Town Hall Expansion-Repairs'!D30</f>
        <v>0</v>
      </c>
      <c r="F67" s="70">
        <f>'Town Hall Expansion-Repairs'!E30</f>
        <v>0</v>
      </c>
      <c r="G67" s="70">
        <f>H67</f>
        <v>40121.293595345662</v>
      </c>
      <c r="H67" s="70">
        <f>O70</f>
        <v>40121.293595345662</v>
      </c>
      <c r="I67" s="70">
        <f>H67</f>
        <v>40121.293595345662</v>
      </c>
      <c r="J67" s="83" t="str">
        <f>B64</f>
        <v>2023 - Town Hall</v>
      </c>
      <c r="K67" s="80"/>
      <c r="L67" s="195">
        <v>20</v>
      </c>
      <c r="M67" s="196">
        <v>0.03</v>
      </c>
      <c r="N67" s="324">
        <f>'Town Hall Expansion-Repairs'!E23</f>
        <v>650000</v>
      </c>
      <c r="O67" s="244">
        <f t="shared" ref="O67" si="27">-PMT(M67,L67,N67)</f>
        <v>43690.209937958432</v>
      </c>
      <c r="P67" s="600"/>
      <c r="Q67" s="326"/>
      <c r="R67" s="326"/>
      <c r="S67" s="176"/>
    </row>
    <row r="68" spans="1:22" s="176" customFormat="1" x14ac:dyDescent="0.3">
      <c r="B68" s="392" t="s">
        <v>502</v>
      </c>
      <c r="C68" s="194">
        <v>0</v>
      </c>
      <c r="D68" s="70">
        <v>0</v>
      </c>
      <c r="E68" s="70">
        <v>0</v>
      </c>
      <c r="F68" s="70">
        <v>0</v>
      </c>
      <c r="G68" s="70">
        <v>0</v>
      </c>
      <c r="H68" s="70">
        <f>O72</f>
        <v>32320.480583910634</v>
      </c>
      <c r="I68" s="217">
        <f>O72</f>
        <v>32320.480583910634</v>
      </c>
      <c r="J68" s="83" t="str">
        <f>B65</f>
        <v>2022 - Dams</v>
      </c>
      <c r="K68" s="319"/>
      <c r="L68" s="195">
        <v>20</v>
      </c>
      <c r="M68" s="196">
        <v>0.03</v>
      </c>
      <c r="N68" s="324">
        <f>'DPW Town Dams'!D19</f>
        <v>0</v>
      </c>
      <c r="O68" s="244">
        <f>-PMT(M68,L68,N68)</f>
        <v>0</v>
      </c>
      <c r="P68" s="600"/>
      <c r="Q68" s="326"/>
      <c r="R68" s="326"/>
      <c r="S68" s="319"/>
    </row>
    <row r="69" spans="1:22" s="176" customFormat="1" ht="15.6" x14ac:dyDescent="0.45">
      <c r="B69" s="392" t="s">
        <v>703</v>
      </c>
      <c r="C69" s="144">
        <v>0</v>
      </c>
      <c r="D69" s="71">
        <v>0</v>
      </c>
      <c r="E69" s="71">
        <v>0</v>
      </c>
      <c r="F69" s="71">
        <v>0</v>
      </c>
      <c r="G69" s="71">
        <v>0</v>
      </c>
      <c r="H69" s="71">
        <v>0</v>
      </c>
      <c r="I69" s="71">
        <f>O73</f>
        <v>40121.293595345662</v>
      </c>
      <c r="J69" s="83" t="str">
        <f>B66</f>
        <v>2022 - Cardiac Monitors</v>
      </c>
      <c r="K69" s="80"/>
      <c r="L69" s="195">
        <f>'Fire Tools'!F27</f>
        <v>7</v>
      </c>
      <c r="M69" s="196">
        <f>'Fire Tools'!F28</f>
        <v>3.5000000000000003E-2</v>
      </c>
      <c r="N69" s="180">
        <v>29750</v>
      </c>
      <c r="O69" s="46">
        <f>-PMT(M69,L69,N69)</f>
        <v>4865.4486900510637</v>
      </c>
      <c r="P69" s="326"/>
      <c r="Q69" s="326"/>
      <c r="R69" s="319"/>
    </row>
    <row r="70" spans="1:22" s="176" customFormat="1" ht="15.6" x14ac:dyDescent="0.45">
      <c r="B70" s="102"/>
      <c r="C70" s="144">
        <f t="shared" ref="C70:I70" si="28">SUM(C62:C69)</f>
        <v>0</v>
      </c>
      <c r="D70" s="242">
        <f t="shared" si="28"/>
        <v>95773.027600721194</v>
      </c>
      <c r="E70" s="242">
        <f t="shared" si="28"/>
        <v>196747.98789871615</v>
      </c>
      <c r="F70" s="242">
        <f t="shared" si="28"/>
        <v>218256.60886047268</v>
      </c>
      <c r="G70" s="242">
        <f t="shared" si="28"/>
        <v>280223.00742479751</v>
      </c>
      <c r="H70" s="242">
        <f t="shared" si="28"/>
        <v>312543.48800870817</v>
      </c>
      <c r="I70" s="242">
        <f t="shared" si="28"/>
        <v>352664.7816040538</v>
      </c>
      <c r="J70" s="83" t="str">
        <f>B67</f>
        <v>2024 - DPW</v>
      </c>
      <c r="K70" s="80"/>
      <c r="L70" s="195">
        <v>20</v>
      </c>
      <c r="M70" s="196">
        <v>0.05</v>
      </c>
      <c r="N70" s="180">
        <f>'DPW Facilities'!F19</f>
        <v>500000</v>
      </c>
      <c r="O70" s="46">
        <f>-PMT(M70,L70,N70)</f>
        <v>40121.293595345662</v>
      </c>
      <c r="P70" s="326"/>
      <c r="Q70" s="319"/>
      <c r="R70" s="319"/>
      <c r="T70" s="102"/>
      <c r="U70" s="102"/>
      <c r="V70" s="102"/>
    </row>
    <row r="71" spans="1:22" ht="18" customHeight="1" x14ac:dyDescent="0.45">
      <c r="A71" s="37"/>
      <c r="B71" s="321" t="s">
        <v>369</v>
      </c>
      <c r="C71" s="391">
        <f t="shared" ref="C71:I71" si="29">C70+C60</f>
        <v>314340.38655085588</v>
      </c>
      <c r="D71" s="391">
        <f t="shared" si="29"/>
        <v>424753.76070243295</v>
      </c>
      <c r="E71" s="391">
        <f t="shared" si="29"/>
        <v>525883.72100042785</v>
      </c>
      <c r="F71" s="391">
        <f t="shared" si="29"/>
        <v>545004.34196218441</v>
      </c>
      <c r="G71" s="391">
        <f t="shared" si="29"/>
        <v>603233.74052650924</v>
      </c>
      <c r="H71" s="391">
        <f t="shared" si="29"/>
        <v>632306.22111041984</v>
      </c>
      <c r="I71" s="391">
        <f t="shared" si="29"/>
        <v>665797.51470576553</v>
      </c>
      <c r="J71" s="83" t="s">
        <v>355</v>
      </c>
      <c r="K71" s="80"/>
      <c r="L71" s="195"/>
      <c r="M71" s="196"/>
      <c r="N71" s="324">
        <f>Recycling!F26</f>
        <v>0</v>
      </c>
      <c r="O71" s="46">
        <v>0</v>
      </c>
      <c r="P71" s="103" t="s">
        <v>700</v>
      </c>
      <c r="Q71" s="319"/>
      <c r="R71" s="176"/>
      <c r="S71" s="176"/>
      <c r="T71" s="37"/>
      <c r="U71" s="37"/>
      <c r="V71" s="37"/>
    </row>
    <row r="72" spans="1:22" s="37" customFormat="1" x14ac:dyDescent="0.3">
      <c r="A72" s="176"/>
      <c r="C72" s="194"/>
      <c r="D72" s="324"/>
      <c r="E72" s="180"/>
      <c r="F72" s="180"/>
      <c r="G72" s="180"/>
      <c r="H72" s="180"/>
      <c r="I72" s="180"/>
      <c r="J72" s="53" t="str">
        <f>B68</f>
        <v>2024 - SCBA Lease</v>
      </c>
      <c r="K72" s="546"/>
      <c r="L72" s="543">
        <v>7</v>
      </c>
      <c r="M72" s="544">
        <v>3.5000000000000003E-2</v>
      </c>
      <c r="N72" s="217">
        <v>197625</v>
      </c>
      <c r="O72" s="545">
        <f>-PMT(M72,L72,N72)</f>
        <v>32320.480583910634</v>
      </c>
      <c r="P72" s="176"/>
      <c r="Q72" s="180"/>
      <c r="R72" s="176"/>
      <c r="T72" s="176"/>
      <c r="U72" s="176"/>
      <c r="V72" s="176"/>
    </row>
    <row r="73" spans="1:22" s="176" customFormat="1" ht="15.6" x14ac:dyDescent="0.45">
      <c r="A73" s="37"/>
      <c r="B73" s="573" t="s">
        <v>693</v>
      </c>
      <c r="C73" s="581">
        <f t="shared" ref="C73:I73" si="30">C49+C71</f>
        <v>826340.38655085582</v>
      </c>
      <c r="D73" s="581">
        <f t="shared" si="30"/>
        <v>1019753.7607024329</v>
      </c>
      <c r="E73" s="581">
        <f t="shared" si="30"/>
        <v>1175883.7210004278</v>
      </c>
      <c r="F73" s="581">
        <f t="shared" si="30"/>
        <v>1260004.3419621843</v>
      </c>
      <c r="G73" s="581">
        <f t="shared" si="30"/>
        <v>1318233.7405265092</v>
      </c>
      <c r="H73" s="581">
        <f t="shared" si="30"/>
        <v>1342306.2211104198</v>
      </c>
      <c r="I73" s="581">
        <f t="shared" si="30"/>
        <v>1375797.5147057655</v>
      </c>
      <c r="J73" s="53" t="s">
        <v>640</v>
      </c>
      <c r="K73" s="109"/>
      <c r="L73" s="543">
        <v>20</v>
      </c>
      <c r="M73" s="544">
        <v>0.05</v>
      </c>
      <c r="N73" s="71">
        <f>'Fire Trucks'!H24</f>
        <v>500000</v>
      </c>
      <c r="O73" s="242">
        <f>-PMT(M73,L73,N73)</f>
        <v>40121.293595345662</v>
      </c>
      <c r="P73" s="103" t="s">
        <v>727</v>
      </c>
      <c r="Q73" s="102"/>
      <c r="R73" s="102"/>
      <c r="S73" s="46"/>
      <c r="T73" s="37"/>
      <c r="U73" s="37"/>
      <c r="V73" s="37"/>
    </row>
    <row r="74" spans="1:22" s="37" customFormat="1" ht="15.6" x14ac:dyDescent="0.45">
      <c r="A74" s="102"/>
      <c r="B74" s="102"/>
      <c r="C74" s="64"/>
      <c r="D74" s="64"/>
      <c r="E74" s="64"/>
      <c r="F74" s="64"/>
      <c r="G74" s="64"/>
      <c r="H74" s="359" t="s">
        <v>364</v>
      </c>
      <c r="I74" s="360">
        <f>AVERAGE(D73:I73)</f>
        <v>1248663.2166679567</v>
      </c>
      <c r="J74" s="83"/>
      <c r="K74" s="80"/>
      <c r="L74" s="195"/>
      <c r="M74" s="102"/>
      <c r="N74" s="193">
        <f>SUM(N65:N73)</f>
        <v>5477375</v>
      </c>
      <c r="O74" s="325">
        <f>SUM(O65:O73)</f>
        <v>352664.7816040538</v>
      </c>
      <c r="P74" s="180"/>
      <c r="T74" s="102"/>
      <c r="U74" s="102"/>
      <c r="V74" s="102"/>
    </row>
    <row r="75" spans="1:22" ht="15.6" x14ac:dyDescent="0.45">
      <c r="A75" s="176"/>
      <c r="B75" s="361" t="s">
        <v>223</v>
      </c>
      <c r="D75" s="583">
        <f>D73-C73</f>
        <v>193413.37415157713</v>
      </c>
      <c r="E75" s="583">
        <f>E73-D73</f>
        <v>156129.9602979949</v>
      </c>
      <c r="F75" s="583">
        <f t="shared" ref="F75:H75" si="31">F73-E73</f>
        <v>84120.620961756445</v>
      </c>
      <c r="G75" s="583">
        <f t="shared" si="31"/>
        <v>58229.398564324947</v>
      </c>
      <c r="H75" s="583">
        <f t="shared" si="31"/>
        <v>24072.480583910597</v>
      </c>
      <c r="I75" s="583">
        <f>I73-H73</f>
        <v>33491.293595345691</v>
      </c>
      <c r="J75" s="83"/>
      <c r="K75" s="80"/>
      <c r="L75" s="195"/>
      <c r="M75" s="37"/>
      <c r="N75" s="63">
        <f>N62+N74</f>
        <v>9808117</v>
      </c>
      <c r="O75" s="63">
        <f>O62+O74</f>
        <v>680387.46496284346</v>
      </c>
      <c r="Q75" s="46"/>
      <c r="R75" s="46"/>
      <c r="T75" s="176"/>
      <c r="U75" s="176"/>
      <c r="V75" s="176"/>
    </row>
    <row r="76" spans="1:22" s="176" customFormat="1" ht="15.6" x14ac:dyDescent="0.45">
      <c r="A76" s="319"/>
      <c r="C76" s="102"/>
      <c r="D76" s="586">
        <f t="shared" ref="D76:I76" si="32">D75/C73</f>
        <v>0.23406017338555168</v>
      </c>
      <c r="E76" s="586">
        <f>E75/D73</f>
        <v>0.15310554990299668</v>
      </c>
      <c r="F76" s="586">
        <f t="shared" si="32"/>
        <v>7.153821373612318E-2</v>
      </c>
      <c r="G76" s="586">
        <f t="shared" si="32"/>
        <v>4.6213649132069858E-2</v>
      </c>
      <c r="H76" s="586">
        <f t="shared" si="32"/>
        <v>1.826116252668205E-2</v>
      </c>
      <c r="I76" s="586">
        <f t="shared" si="32"/>
        <v>2.4950561256909091E-2</v>
      </c>
      <c r="K76" s="80"/>
      <c r="L76" s="195"/>
      <c r="N76" s="231" t="s">
        <v>198</v>
      </c>
      <c r="O76" s="37"/>
      <c r="P76" s="180"/>
      <c r="Q76" s="37"/>
      <c r="R76" s="37"/>
      <c r="T76" s="102"/>
      <c r="U76" s="102"/>
      <c r="V76" s="102"/>
    </row>
    <row r="77" spans="1:22" ht="18" customHeight="1" x14ac:dyDescent="0.45">
      <c r="B77" s="367" t="s">
        <v>256</v>
      </c>
      <c r="C77" s="37"/>
      <c r="D77" s="583">
        <f>$D$75</f>
        <v>193413.37415157713</v>
      </c>
      <c r="E77" s="583">
        <f>D77+E75</f>
        <v>349543.33444957202</v>
      </c>
      <c r="F77" s="583">
        <f>E77+F75</f>
        <v>433663.95541132847</v>
      </c>
      <c r="G77" s="583">
        <f>F77+G75</f>
        <v>491893.35397565342</v>
      </c>
      <c r="H77" s="583">
        <f>G77+H75</f>
        <v>515965.83455956401</v>
      </c>
      <c r="I77" s="583">
        <f>H77+I75</f>
        <v>549457.1281549097</v>
      </c>
      <c r="J77" s="83"/>
      <c r="K77" s="80"/>
      <c r="L77" s="195"/>
      <c r="M77" s="37"/>
      <c r="N77" s="231" t="s">
        <v>199</v>
      </c>
      <c r="T77" s="37"/>
      <c r="U77" s="37"/>
      <c r="V77" s="37"/>
    </row>
    <row r="78" spans="1:22" s="37" customFormat="1" ht="15.6" hidden="1" x14ac:dyDescent="0.45">
      <c r="B78" s="383" t="s">
        <v>262</v>
      </c>
      <c r="C78" s="392"/>
      <c r="D78" s="608">
        <f>D116</f>
        <v>0.35049703013554478</v>
      </c>
      <c r="E78" s="608">
        <f t="shared" ref="E78:I78" si="33">E116</f>
        <v>0.28293331647656128</v>
      </c>
      <c r="F78" s="241">
        <f t="shared" si="33"/>
        <v>0.15244048116934766</v>
      </c>
      <c r="G78" s="241">
        <f t="shared" si="33"/>
        <v>0.10552130302726756</v>
      </c>
      <c r="H78" s="241">
        <f t="shared" si="33"/>
        <v>4.3623317103417741E-2</v>
      </c>
      <c r="I78" s="241">
        <f t="shared" si="33"/>
        <v>6.0691764424557183E-2</v>
      </c>
      <c r="J78" s="176"/>
      <c r="K78" s="176"/>
      <c r="L78" s="176"/>
      <c r="M78" s="176"/>
      <c r="N78" s="176"/>
      <c r="O78" s="176"/>
      <c r="P78" s="180"/>
      <c r="Q78" s="176"/>
      <c r="R78" s="54"/>
    </row>
    <row r="79" spans="1:22" s="37" customFormat="1" ht="15.6" hidden="1" x14ac:dyDescent="0.45">
      <c r="A79" s="326"/>
      <c r="B79" s="361" t="s">
        <v>718</v>
      </c>
      <c r="C79" s="319"/>
      <c r="D79" s="587">
        <f t="shared" ref="D79:I79" si="34">D$75/$B$90*1000</f>
        <v>0.30776741086588399</v>
      </c>
      <c r="E79" s="587">
        <f t="shared" si="34"/>
        <v>0.24844049099649773</v>
      </c>
      <c r="F79" s="587">
        <f t="shared" si="34"/>
        <v>0.13385623319688661</v>
      </c>
      <c r="G79" s="587">
        <f t="shared" si="34"/>
        <v>9.2657042518555222E-2</v>
      </c>
      <c r="H79" s="587">
        <f t="shared" si="34"/>
        <v>3.8305133008140611E-2</v>
      </c>
      <c r="I79" s="587">
        <f t="shared" si="34"/>
        <v>5.3292740285430032E-2</v>
      </c>
      <c r="J79" s="83" t="s">
        <v>504</v>
      </c>
      <c r="K79" s="80"/>
      <c r="L79" s="195"/>
      <c r="M79" s="176"/>
      <c r="N79" s="176"/>
      <c r="O79" s="176"/>
      <c r="P79" s="180"/>
      <c r="Q79" s="102"/>
      <c r="R79" s="102"/>
      <c r="T79" s="326"/>
      <c r="U79" s="326"/>
      <c r="V79" s="326"/>
    </row>
    <row r="80" spans="1:22" s="326" customFormat="1" ht="15.6" x14ac:dyDescent="0.45">
      <c r="A80" s="37"/>
      <c r="B80" s="361" t="s">
        <v>735</v>
      </c>
      <c r="D80" s="609">
        <f t="shared" ref="D80:I80" si="35">D75/$B$90*1000</f>
        <v>0.30776741086588399</v>
      </c>
      <c r="E80" s="609">
        <f t="shared" si="35"/>
        <v>0.24844049099649773</v>
      </c>
      <c r="F80" s="589">
        <f t="shared" si="35"/>
        <v>0.13385623319688661</v>
      </c>
      <c r="G80" s="589">
        <f t="shared" si="35"/>
        <v>9.2657042518555222E-2</v>
      </c>
      <c r="H80" s="589">
        <f t="shared" si="35"/>
        <v>3.8305133008140611E-2</v>
      </c>
      <c r="I80" s="589">
        <f t="shared" si="35"/>
        <v>5.3292740285430032E-2</v>
      </c>
      <c r="J80" s="176"/>
      <c r="K80" s="176"/>
      <c r="L80" s="180"/>
      <c r="M80" s="37"/>
      <c r="N80" s="37"/>
      <c r="O80" s="37"/>
      <c r="P80" s="37"/>
      <c r="Q80" s="37"/>
      <c r="R80" s="37"/>
    </row>
    <row r="81" spans="1:22" s="326" customFormat="1" x14ac:dyDescent="0.3">
      <c r="C81" s="3"/>
      <c r="D81" s="3"/>
      <c r="E81" s="3"/>
      <c r="F81" s="3"/>
      <c r="G81" s="3"/>
      <c r="H81" s="3"/>
      <c r="I81" s="3"/>
      <c r="J81" s="37"/>
      <c r="K81" s="37"/>
      <c r="L81" s="37"/>
      <c r="R81" s="37"/>
    </row>
    <row r="82" spans="1:22" s="326" customFormat="1" x14ac:dyDescent="0.3">
      <c r="B82" s="321" t="s">
        <v>721</v>
      </c>
      <c r="C82" s="3"/>
      <c r="D82" s="376">
        <f>D51</f>
        <v>2021</v>
      </c>
      <c r="E82" s="376">
        <f t="shared" ref="E82:I82" si="36">1+D82</f>
        <v>2022</v>
      </c>
      <c r="F82" s="376">
        <f t="shared" si="36"/>
        <v>2023</v>
      </c>
      <c r="G82" s="376">
        <f t="shared" si="36"/>
        <v>2024</v>
      </c>
      <c r="H82" s="376">
        <f t="shared" si="36"/>
        <v>2025</v>
      </c>
      <c r="I82" s="376">
        <f t="shared" si="36"/>
        <v>2026</v>
      </c>
      <c r="J82" s="455" t="s">
        <v>505</v>
      </c>
    </row>
    <row r="83" spans="1:22" s="326" customFormat="1" x14ac:dyDescent="0.3">
      <c r="B83" s="211" t="s">
        <v>365</v>
      </c>
      <c r="C83" s="3"/>
      <c r="D83" s="6"/>
      <c r="E83" s="3"/>
      <c r="F83" s="3"/>
      <c r="G83" s="3"/>
      <c r="H83" s="3"/>
      <c r="I83" s="3"/>
      <c r="J83" s="455" t="s">
        <v>506</v>
      </c>
    </row>
    <row r="84" spans="1:22" s="326" customFormat="1" x14ac:dyDescent="0.3">
      <c r="B84" s="588" t="s">
        <v>719</v>
      </c>
      <c r="C84" s="3"/>
      <c r="D84" s="139">
        <f t="shared" ref="D84:I84" si="37">D73</f>
        <v>1019753.7607024329</v>
      </c>
      <c r="E84" s="139">
        <f t="shared" si="37"/>
        <v>1175883.7210004278</v>
      </c>
      <c r="F84" s="139">
        <f t="shared" si="37"/>
        <v>1260004.3419621843</v>
      </c>
      <c r="G84" s="139">
        <f t="shared" si="37"/>
        <v>1318233.7405265092</v>
      </c>
      <c r="H84" s="139">
        <f t="shared" si="37"/>
        <v>1342306.2211104198</v>
      </c>
      <c r="I84" s="139">
        <f t="shared" si="37"/>
        <v>1375797.5147057655</v>
      </c>
    </row>
    <row r="85" spans="1:22" s="326" customFormat="1" ht="15.6" x14ac:dyDescent="0.45">
      <c r="B85" s="588" t="s">
        <v>366</v>
      </c>
      <c r="C85" s="3"/>
      <c r="D85" s="210">
        <v>1031439</v>
      </c>
      <c r="E85" s="210">
        <v>1069211</v>
      </c>
      <c r="F85" s="210">
        <v>1076709</v>
      </c>
      <c r="G85" s="210">
        <v>1133353</v>
      </c>
      <c r="H85" s="210">
        <v>1151557</v>
      </c>
      <c r="I85" s="350" t="s">
        <v>341</v>
      </c>
    </row>
    <row r="86" spans="1:22" s="326" customFormat="1" ht="15.6" x14ac:dyDescent="0.45">
      <c r="B86" s="211" t="s">
        <v>223</v>
      </c>
      <c r="C86" s="3"/>
      <c r="D86" s="67">
        <f t="shared" ref="D86:H86" si="38">D84-D85</f>
        <v>-11685.239297567052</v>
      </c>
      <c r="E86" s="67">
        <f>E84-E85</f>
        <v>106672.72100042785</v>
      </c>
      <c r="F86" s="67">
        <f t="shared" si="38"/>
        <v>183295.34196218429</v>
      </c>
      <c r="G86" s="67">
        <f t="shared" si="38"/>
        <v>184880.74052650924</v>
      </c>
      <c r="H86" s="67">
        <f t="shared" si="38"/>
        <v>190749.22111041984</v>
      </c>
      <c r="I86" s="139"/>
      <c r="T86" s="102"/>
      <c r="U86" s="102"/>
      <c r="V86" s="102"/>
    </row>
    <row r="87" spans="1:22" x14ac:dyDescent="0.3">
      <c r="A87" s="326"/>
      <c r="G87" s="109"/>
      <c r="H87" s="109"/>
      <c r="I87" s="109"/>
      <c r="J87" s="74" t="s">
        <v>210</v>
      </c>
      <c r="K87" s="205"/>
      <c r="L87" s="37"/>
      <c r="M87" s="319"/>
      <c r="N87" s="230" t="s">
        <v>233</v>
      </c>
      <c r="O87" s="37"/>
      <c r="P87" s="37"/>
      <c r="Q87" s="37"/>
      <c r="R87" s="326"/>
    </row>
    <row r="88" spans="1:22" ht="15.6" x14ac:dyDescent="0.45">
      <c r="B88" s="70"/>
      <c r="C88" s="70"/>
      <c r="D88" s="109"/>
      <c r="E88" s="213"/>
      <c r="F88" s="109"/>
      <c r="H88" s="46"/>
      <c r="I88" s="109"/>
      <c r="J88" s="206"/>
      <c r="K88" s="621" t="s">
        <v>209</v>
      </c>
      <c r="L88" s="622"/>
      <c r="M88" s="319"/>
      <c r="N88" s="228" t="s">
        <v>263</v>
      </c>
      <c r="O88" s="189"/>
      <c r="P88" s="7">
        <v>6418000</v>
      </c>
      <c r="Q88" s="244">
        <f>SUM(P88:P89)</f>
        <v>7666663.2166679567</v>
      </c>
      <c r="R88" s="326"/>
    </row>
    <row r="89" spans="1:22" x14ac:dyDescent="0.3">
      <c r="B89" s="585" t="s">
        <v>717</v>
      </c>
      <c r="C89" s="70"/>
      <c r="D89" s="109"/>
      <c r="E89" s="70"/>
      <c r="F89" s="109"/>
      <c r="G89" s="109"/>
      <c r="H89" s="109"/>
      <c r="I89" s="109"/>
      <c r="J89" s="618" t="s">
        <v>208</v>
      </c>
      <c r="K89" s="203">
        <v>2021</v>
      </c>
      <c r="L89" s="204">
        <v>2025</v>
      </c>
      <c r="M89" s="37"/>
      <c r="N89" s="75" t="s">
        <v>232</v>
      </c>
      <c r="O89" s="224"/>
      <c r="P89" s="5">
        <f>I74</f>
        <v>1248663.2166679567</v>
      </c>
    </row>
    <row r="90" spans="1:22" x14ac:dyDescent="0.3">
      <c r="B90" s="584">
        <v>628440073</v>
      </c>
      <c r="D90" s="46"/>
      <c r="E90" s="109"/>
      <c r="F90" s="65"/>
      <c r="H90" s="109"/>
      <c r="J90" s="618"/>
      <c r="K90" s="85">
        <v>46991</v>
      </c>
      <c r="L90" s="207">
        <v>0</v>
      </c>
      <c r="N90" s="223"/>
      <c r="O90" s="3"/>
      <c r="P90" s="225">
        <f>P89/Q88</f>
        <v>0.162869188508667</v>
      </c>
    </row>
    <row r="91" spans="1:22" x14ac:dyDescent="0.3">
      <c r="B91" s="214"/>
      <c r="C91" s="109"/>
      <c r="D91" s="70"/>
      <c r="E91" s="109"/>
      <c r="F91" s="65"/>
      <c r="G91" s="109"/>
      <c r="H91" s="109"/>
      <c r="I91" s="240"/>
      <c r="J91" s="618" t="s">
        <v>212</v>
      </c>
      <c r="K91" s="203">
        <v>2025</v>
      </c>
      <c r="L91" s="204" t="s">
        <v>213</v>
      </c>
      <c r="N91" s="229" t="s">
        <v>234</v>
      </c>
      <c r="O91" s="3"/>
      <c r="P91" s="5">
        <f>I74-C73</f>
        <v>422322.83011710085</v>
      </c>
    </row>
    <row r="92" spans="1:22" x14ac:dyDescent="0.3">
      <c r="B92" s="592" t="s">
        <v>736</v>
      </c>
      <c r="C92" s="457"/>
      <c r="D92" s="319"/>
      <c r="E92" s="109"/>
      <c r="F92" s="215"/>
      <c r="G92" s="109"/>
      <c r="I92" s="245"/>
      <c r="J92" s="619"/>
      <c r="K92" s="19">
        <f>180464+6777</f>
        <v>187241</v>
      </c>
      <c r="L92" s="34">
        <f>S73</f>
        <v>0</v>
      </c>
      <c r="N92" s="226"/>
      <c r="O92" s="175"/>
      <c r="P92" s="227">
        <f>P91/P88</f>
        <v>6.5802871629339496E-2</v>
      </c>
    </row>
    <row r="93" spans="1:22" x14ac:dyDescent="0.3">
      <c r="B93" s="323"/>
      <c r="C93" s="44">
        <v>2019</v>
      </c>
      <c r="D93" s="44">
        <v>2020</v>
      </c>
      <c r="E93" s="109"/>
      <c r="F93" s="215"/>
      <c r="G93" s="109"/>
      <c r="H93" s="109"/>
      <c r="I93" s="109"/>
      <c r="J93" s="46"/>
      <c r="K93" s="6"/>
      <c r="L93" s="6"/>
    </row>
    <row r="94" spans="1:22" x14ac:dyDescent="0.3">
      <c r="B94" s="591" t="s">
        <v>737</v>
      </c>
      <c r="C94" s="77">
        <v>5.8</v>
      </c>
      <c r="D94" s="77">
        <v>6.22</v>
      </c>
      <c r="E94" s="109">
        <v>0.44</v>
      </c>
      <c r="F94" s="91">
        <f>E94/D94</f>
        <v>7.0739549839228297E-2</v>
      </c>
      <c r="G94" s="109"/>
      <c r="H94" s="109"/>
      <c r="I94" s="109"/>
      <c r="J94" s="180"/>
      <c r="K94" s="180"/>
    </row>
    <row r="95" spans="1:22" x14ac:dyDescent="0.3">
      <c r="B95" s="591" t="s">
        <v>1</v>
      </c>
      <c r="C95" s="77">
        <v>25.76</v>
      </c>
      <c r="D95" s="77">
        <v>25.68</v>
      </c>
      <c r="E95" s="109"/>
      <c r="F95" s="109"/>
      <c r="G95" s="109"/>
      <c r="H95" s="109"/>
      <c r="I95" s="109"/>
      <c r="J95" s="180"/>
      <c r="K95" s="180"/>
    </row>
    <row r="96" spans="1:22" x14ac:dyDescent="0.3">
      <c r="B96" s="214"/>
      <c r="C96" s="109"/>
      <c r="E96" s="109"/>
      <c r="F96" s="215"/>
      <c r="G96" s="109"/>
      <c r="H96" s="109"/>
      <c r="I96" s="109"/>
      <c r="J96" s="180"/>
      <c r="K96" s="180"/>
      <c r="N96" s="102"/>
      <c r="P96" s="102"/>
    </row>
    <row r="97" spans="1:22" ht="15.6" x14ac:dyDescent="0.45">
      <c r="B97" s="214"/>
      <c r="C97" s="109"/>
      <c r="D97" s="71"/>
      <c r="E97" s="109"/>
      <c r="F97" s="216"/>
      <c r="G97" s="109"/>
      <c r="H97" s="109"/>
      <c r="I97" s="109"/>
      <c r="J97" s="180"/>
      <c r="K97" s="180"/>
      <c r="N97" s="102"/>
      <c r="P97" s="102"/>
    </row>
    <row r="98" spans="1:22" ht="19.2" x14ac:dyDescent="0.45">
      <c r="B98" s="322" t="s">
        <v>768</v>
      </c>
      <c r="C98" s="322"/>
      <c r="D98" s="71"/>
      <c r="E98" s="196"/>
      <c r="F98" s="109"/>
      <c r="H98" s="109"/>
      <c r="I98" s="109"/>
      <c r="J98" s="180"/>
      <c r="K98" s="180"/>
      <c r="N98" s="102"/>
      <c r="P98" s="102"/>
      <c r="T98" s="176"/>
      <c r="U98" s="176"/>
      <c r="V98" s="176"/>
    </row>
    <row r="99" spans="1:22" s="176" customFormat="1" ht="18" x14ac:dyDescent="0.35">
      <c r="A99" s="102"/>
      <c r="B99" s="601" t="s">
        <v>2</v>
      </c>
      <c r="C99" s="236" t="s">
        <v>769</v>
      </c>
      <c r="D99" s="70"/>
      <c r="E99" s="109"/>
      <c r="F99" s="215"/>
      <c r="G99" s="109"/>
      <c r="H99" s="109"/>
      <c r="I99" s="109"/>
      <c r="J99" s="180"/>
      <c r="K99" s="180"/>
      <c r="L99" s="180"/>
      <c r="M99" s="102"/>
      <c r="N99" s="102"/>
      <c r="O99" s="102"/>
      <c r="P99" s="102"/>
      <c r="Q99" s="102"/>
      <c r="R99" s="102"/>
      <c r="T99" s="3"/>
      <c r="U99" s="118"/>
    </row>
    <row r="100" spans="1:22" s="176" customFormat="1" ht="18" x14ac:dyDescent="0.35">
      <c r="A100" s="102"/>
      <c r="B100" s="602">
        <v>100000</v>
      </c>
      <c r="C100" s="236" t="s">
        <v>770</v>
      </c>
      <c r="D100" s="70"/>
      <c r="E100" s="109"/>
      <c r="F100" s="216"/>
      <c r="H100" s="109"/>
      <c r="I100" s="109"/>
      <c r="J100" s="180"/>
      <c r="K100" s="98"/>
      <c r="L100" s="98"/>
      <c r="M100" s="102"/>
      <c r="N100" s="180"/>
      <c r="O100" s="102"/>
      <c r="P100" s="180"/>
      <c r="Q100" s="102"/>
      <c r="R100" s="102"/>
      <c r="S100" s="3"/>
      <c r="T100" s="102"/>
      <c r="U100" s="349"/>
      <c r="V100" s="102"/>
    </row>
    <row r="101" spans="1:22" ht="18" x14ac:dyDescent="0.35">
      <c r="A101" s="176"/>
      <c r="B101" s="602">
        <v>25000</v>
      </c>
      <c r="C101" s="236" t="s">
        <v>771</v>
      </c>
      <c r="D101" s="70"/>
      <c r="E101" s="243"/>
      <c r="F101" s="216"/>
      <c r="G101" s="109"/>
      <c r="H101" s="109"/>
      <c r="I101" s="109"/>
      <c r="J101" s="180"/>
      <c r="K101" s="180"/>
      <c r="M101" s="176"/>
      <c r="N101" s="176"/>
      <c r="O101" s="176"/>
      <c r="P101" s="176"/>
      <c r="Q101" s="176"/>
      <c r="R101" s="176"/>
    </row>
    <row r="102" spans="1:22" ht="18" x14ac:dyDescent="0.35">
      <c r="A102" s="176"/>
      <c r="B102" s="602">
        <v>5000</v>
      </c>
      <c r="C102" s="236" t="s">
        <v>772</v>
      </c>
      <c r="D102" s="70"/>
      <c r="E102" s="109"/>
      <c r="F102" s="216"/>
      <c r="I102" s="109"/>
      <c r="L102" s="176"/>
      <c r="M102" s="176"/>
      <c r="N102" s="348"/>
      <c r="O102" s="3"/>
      <c r="P102" s="6"/>
      <c r="Q102" s="3"/>
      <c r="R102" s="3"/>
    </row>
    <row r="103" spans="1:22" ht="19.2" x14ac:dyDescent="0.45">
      <c r="B103" s="602">
        <v>5000</v>
      </c>
      <c r="C103" s="236" t="s">
        <v>773</v>
      </c>
      <c r="D103" s="71"/>
      <c r="E103" s="109"/>
      <c r="F103" s="216"/>
      <c r="I103" s="109"/>
      <c r="J103" s="102"/>
      <c r="K103" s="102"/>
      <c r="L103" s="102"/>
      <c r="N103" s="102"/>
      <c r="P103" s="102"/>
    </row>
    <row r="104" spans="1:22" ht="19.2" x14ac:dyDescent="0.45">
      <c r="B104" s="602">
        <v>10000</v>
      </c>
      <c r="C104" s="236" t="s">
        <v>774</v>
      </c>
      <c r="D104" s="71"/>
      <c r="E104" s="196"/>
      <c r="J104" s="102"/>
      <c r="K104" s="102"/>
      <c r="L104" s="102"/>
    </row>
    <row r="105" spans="1:22" ht="19.2" x14ac:dyDescent="0.45">
      <c r="B105" s="602">
        <v>20000</v>
      </c>
      <c r="C105" s="236" t="s">
        <v>61</v>
      </c>
      <c r="D105" s="64"/>
      <c r="E105" s="196"/>
      <c r="J105" s="102"/>
      <c r="K105" s="102"/>
      <c r="L105" s="102"/>
      <c r="T105" s="176"/>
      <c r="U105" s="176"/>
      <c r="V105" s="176"/>
    </row>
    <row r="106" spans="1:22" s="176" customFormat="1" ht="18" x14ac:dyDescent="0.35">
      <c r="A106" s="102"/>
      <c r="B106" s="603">
        <f>SUM(B100:B105)</f>
        <v>165000</v>
      </c>
      <c r="C106" s="604" t="s">
        <v>1</v>
      </c>
      <c r="J106" s="102"/>
      <c r="K106" s="102"/>
      <c r="L106" s="102"/>
      <c r="M106" s="102"/>
      <c r="N106" s="180"/>
      <c r="O106" s="102"/>
      <c r="P106" s="180"/>
      <c r="Q106" s="102"/>
      <c r="R106" s="102"/>
    </row>
    <row r="107" spans="1:22" s="176" customFormat="1" ht="18" x14ac:dyDescent="0.35">
      <c r="B107" s="605">
        <f>B106/628440.073</f>
        <v>0.26255486734373162</v>
      </c>
      <c r="C107" s="236" t="s">
        <v>775</v>
      </c>
      <c r="J107" s="102"/>
      <c r="K107" s="102"/>
      <c r="L107" s="102"/>
      <c r="M107" s="102"/>
      <c r="N107" s="180"/>
      <c r="O107" s="102"/>
      <c r="P107" s="180"/>
      <c r="Q107" s="102"/>
      <c r="R107" s="102"/>
    </row>
    <row r="108" spans="1:22" s="176" customFormat="1" x14ac:dyDescent="0.3">
      <c r="J108" s="180"/>
      <c r="K108" s="180"/>
      <c r="L108" s="180"/>
      <c r="M108" s="102"/>
      <c r="N108" s="180"/>
      <c r="O108" s="102"/>
      <c r="P108" s="180"/>
    </row>
    <row r="109" spans="1:22" s="176" customFormat="1" x14ac:dyDescent="0.3">
      <c r="J109" s="239"/>
      <c r="K109" s="239"/>
      <c r="L109" s="239"/>
      <c r="N109" s="239"/>
      <c r="P109" s="239"/>
      <c r="T109" s="102"/>
      <c r="U109" s="102"/>
      <c r="V109" s="102"/>
    </row>
    <row r="110" spans="1:22" x14ac:dyDescent="0.3">
      <c r="A110" s="176"/>
      <c r="C110" s="46">
        <f>SUM(C42+C47)</f>
        <v>495000</v>
      </c>
      <c r="D110" s="46">
        <f>D75-D105</f>
        <v>193413.37415157713</v>
      </c>
      <c r="J110" s="239"/>
      <c r="K110" s="239"/>
      <c r="L110" s="239"/>
      <c r="M110" s="176"/>
      <c r="N110" s="239"/>
      <c r="O110" s="176"/>
      <c r="P110" s="239"/>
      <c r="Q110" s="176"/>
      <c r="R110" s="176"/>
    </row>
    <row r="111" spans="1:22" x14ac:dyDescent="0.3">
      <c r="J111" s="239"/>
      <c r="K111" s="239"/>
      <c r="L111" s="239"/>
      <c r="M111" s="176"/>
      <c r="N111" s="239"/>
      <c r="O111" s="176"/>
      <c r="P111" s="239"/>
      <c r="Q111" s="176"/>
      <c r="R111" s="176"/>
    </row>
    <row r="112" spans="1:22" x14ac:dyDescent="0.3">
      <c r="B112" s="102" t="s">
        <v>260</v>
      </c>
      <c r="D112" s="70">
        <v>551826</v>
      </c>
      <c r="E112" s="46">
        <f>D112</f>
        <v>551826</v>
      </c>
      <c r="F112" s="46">
        <f t="shared" ref="F112:I112" si="39">E112</f>
        <v>551826</v>
      </c>
      <c r="G112" s="46">
        <f t="shared" si="39"/>
        <v>551826</v>
      </c>
      <c r="H112" s="46">
        <f t="shared" si="39"/>
        <v>551826</v>
      </c>
      <c r="I112" s="46">
        <f t="shared" si="39"/>
        <v>551826</v>
      </c>
      <c r="J112" s="239"/>
      <c r="K112" s="239"/>
      <c r="L112" s="239"/>
      <c r="M112" s="176"/>
      <c r="N112" s="239"/>
      <c r="O112" s="176"/>
      <c r="P112" s="239"/>
    </row>
    <row r="113" spans="2:12" x14ac:dyDescent="0.3">
      <c r="J113" s="180"/>
      <c r="K113" s="180"/>
    </row>
    <row r="114" spans="2:12" x14ac:dyDescent="0.3">
      <c r="B114" s="102" t="s">
        <v>265</v>
      </c>
      <c r="D114" s="46">
        <f t="shared" ref="D114:I114" si="40">D75</f>
        <v>193413.37415157713</v>
      </c>
      <c r="E114" s="46">
        <f t="shared" si="40"/>
        <v>156129.9602979949</v>
      </c>
      <c r="F114" s="46">
        <f t="shared" si="40"/>
        <v>84120.620961756445</v>
      </c>
      <c r="G114" s="46">
        <f t="shared" si="40"/>
        <v>58229.398564324947</v>
      </c>
      <c r="H114" s="46">
        <f t="shared" si="40"/>
        <v>24072.480583910597</v>
      </c>
      <c r="I114" s="46">
        <f t="shared" si="40"/>
        <v>33491.293595345691</v>
      </c>
      <c r="J114" s="180"/>
      <c r="K114" s="180"/>
    </row>
    <row r="115" spans="2:12" x14ac:dyDescent="0.3">
      <c r="E115" s="176"/>
      <c r="F115" s="176"/>
      <c r="G115" s="176"/>
      <c r="H115" s="176"/>
      <c r="I115" s="176"/>
      <c r="J115" s="109" t="s">
        <v>259</v>
      </c>
      <c r="K115" s="109"/>
      <c r="L115" s="109"/>
    </row>
    <row r="116" spans="2:12" x14ac:dyDescent="0.3">
      <c r="B116" s="102" t="s">
        <v>261</v>
      </c>
      <c r="D116" s="103">
        <f>D114/D112</f>
        <v>0.35049703013554478</v>
      </c>
      <c r="E116" s="103">
        <f t="shared" ref="E116:I116" si="41">E114/E112</f>
        <v>0.28293331647656128</v>
      </c>
      <c r="F116" s="103">
        <f t="shared" si="41"/>
        <v>0.15244048116934766</v>
      </c>
      <c r="G116" s="103">
        <f t="shared" si="41"/>
        <v>0.10552130302726756</v>
      </c>
      <c r="H116" s="103">
        <f t="shared" si="41"/>
        <v>4.3623317103417741E-2</v>
      </c>
      <c r="I116" s="103">
        <f t="shared" si="41"/>
        <v>6.0691764424557183E-2</v>
      </c>
      <c r="J116" s="216" t="s">
        <v>238</v>
      </c>
      <c r="K116" s="109"/>
      <c r="L116" s="109"/>
    </row>
    <row r="117" spans="2:12" x14ac:dyDescent="0.3">
      <c r="B117" s="102" t="s">
        <v>266</v>
      </c>
      <c r="D117" s="103">
        <f>D116</f>
        <v>0.35049703013554478</v>
      </c>
      <c r="E117" s="54">
        <f>D117+E116</f>
        <v>0.63343034661210607</v>
      </c>
      <c r="F117" s="54">
        <f t="shared" ref="F117:I117" si="42">E117+F116</f>
        <v>0.78587082778145367</v>
      </c>
      <c r="G117" s="54">
        <f t="shared" si="42"/>
        <v>0.89139213080872126</v>
      </c>
      <c r="H117" s="54">
        <f t="shared" si="42"/>
        <v>0.93501544791213898</v>
      </c>
      <c r="I117" s="54">
        <f t="shared" si="42"/>
        <v>0.99570721233669612</v>
      </c>
      <c r="J117" s="216" t="s">
        <v>190</v>
      </c>
      <c r="K117" s="102"/>
      <c r="L117" s="102"/>
    </row>
    <row r="118" spans="2:12" x14ac:dyDescent="0.3">
      <c r="J118" s="218" t="s">
        <v>191</v>
      </c>
      <c r="K118" s="102"/>
      <c r="L118" s="102"/>
    </row>
    <row r="119" spans="2:12" x14ac:dyDescent="0.3">
      <c r="J119" s="102"/>
      <c r="K119" s="102"/>
      <c r="L119" s="102"/>
    </row>
    <row r="120" spans="2:12" x14ac:dyDescent="0.3">
      <c r="J120" s="216" t="s">
        <v>205</v>
      </c>
      <c r="K120" s="102"/>
      <c r="L120" s="102"/>
    </row>
    <row r="121" spans="2:12" x14ac:dyDescent="0.3">
      <c r="J121" s="216" t="s">
        <v>226</v>
      </c>
      <c r="K121" s="102"/>
      <c r="L121" s="102"/>
    </row>
  </sheetData>
  <mergeCells count="6">
    <mergeCell ref="J91:J92"/>
    <mergeCell ref="A2:B2"/>
    <mergeCell ref="A51:B51"/>
    <mergeCell ref="K88:L88"/>
    <mergeCell ref="J89:J90"/>
    <mergeCell ref="A30:B30"/>
  </mergeCells>
  <phoneticPr fontId="33" type="noConversion"/>
  <pageMargins left="0.7" right="0.7" top="0.75" bottom="0.75" header="0.3" footer="0.3"/>
  <pageSetup scale="99" orientation="landscape" r:id="rId1"/>
  <headerFooter>
    <oddHeader>&amp;C&amp;"-,Bold"&amp;12Swanzey CIPC
7 YEAR CAPITAL INCLUSIVE BUDGET SUMMARY</oddHeader>
    <oddFooter>&amp;L&amp;A&amp;R&amp;P of &amp;N</oddFooter>
  </headerFooter>
  <rowBreaks count="2" manualBreakCount="2">
    <brk id="29" max="8" man="1"/>
    <brk id="50"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view="pageBreakPreview" zoomScaleNormal="100" zoomScaleSheetLayoutView="100" workbookViewId="0">
      <selection activeCell="E20" sqref="E20"/>
    </sheetView>
  </sheetViews>
  <sheetFormatPr defaultColWidth="9" defaultRowHeight="13.8" x14ac:dyDescent="0.3"/>
  <cols>
    <col min="1" max="1" width="25" style="102" customWidth="1"/>
    <col min="2" max="2" width="22.109375" style="102" customWidth="1"/>
    <col min="3" max="3" width="11" style="102" bestFit="1" customWidth="1"/>
    <col min="4" max="8" width="9" style="102"/>
    <col min="9" max="9" width="19.88671875" style="102" customWidth="1"/>
    <col min="10" max="10" width="12.44140625" style="102" customWidth="1"/>
    <col min="11" max="16384" width="9" style="102"/>
  </cols>
  <sheetData>
    <row r="1" spans="1:10" ht="20.25" customHeight="1" x14ac:dyDescent="0.3">
      <c r="A1" s="252" t="s">
        <v>716</v>
      </c>
      <c r="I1" s="247"/>
      <c r="J1" s="248"/>
    </row>
    <row r="2" spans="1:10" x14ac:dyDescent="0.3">
      <c r="A2" s="252" t="s">
        <v>267</v>
      </c>
    </row>
    <row r="3" spans="1:10" x14ac:dyDescent="0.3">
      <c r="A3" s="252" t="s">
        <v>268</v>
      </c>
    </row>
    <row r="4" spans="1:10" s="24" customFormat="1" x14ac:dyDescent="0.3">
      <c r="A4" s="264" t="s">
        <v>269</v>
      </c>
      <c r="I4" s="623" t="s">
        <v>412</v>
      </c>
      <c r="J4" s="624"/>
    </row>
    <row r="5" spans="1:10" s="24" customFormat="1" x14ac:dyDescent="0.3">
      <c r="A5" s="21" t="s">
        <v>3</v>
      </c>
      <c r="B5" s="21" t="s">
        <v>8</v>
      </c>
      <c r="C5" s="22">
        <v>2021</v>
      </c>
      <c r="D5" s="22">
        <f>C5+1</f>
        <v>2022</v>
      </c>
      <c r="E5" s="22">
        <f>D5+1</f>
        <v>2023</v>
      </c>
      <c r="F5" s="22">
        <f>E5+1</f>
        <v>2024</v>
      </c>
      <c r="G5" s="22">
        <f>F5+1</f>
        <v>2025</v>
      </c>
      <c r="H5" s="22">
        <f>G5+1</f>
        <v>2026</v>
      </c>
      <c r="I5" s="21" t="s">
        <v>3</v>
      </c>
      <c r="J5" s="21" t="s">
        <v>2</v>
      </c>
    </row>
    <row r="6" spans="1:10" s="106" customFormat="1" ht="28.2" x14ac:dyDescent="0.35">
      <c r="A6" s="112" t="s">
        <v>348</v>
      </c>
      <c r="B6" s="129"/>
      <c r="C6" s="191"/>
      <c r="D6" s="191">
        <v>20000</v>
      </c>
      <c r="E6" s="191"/>
      <c r="F6" s="191"/>
      <c r="G6" s="191"/>
      <c r="H6" s="191"/>
      <c r="I6" s="191"/>
      <c r="J6" s="191">
        <v>20000</v>
      </c>
    </row>
    <row r="7" spans="1:10" s="106" customFormat="1" ht="18" x14ac:dyDescent="0.35">
      <c r="A7" s="112" t="s">
        <v>344</v>
      </c>
      <c r="B7" s="131"/>
      <c r="C7" s="191"/>
      <c r="D7" s="191">
        <v>10000</v>
      </c>
      <c r="E7" s="191"/>
      <c r="F7" s="191"/>
      <c r="G7" s="191"/>
      <c r="H7" s="191"/>
      <c r="I7" s="191"/>
      <c r="J7" s="191"/>
    </row>
    <row r="8" spans="1:10" s="106" customFormat="1" ht="18" x14ac:dyDescent="0.35">
      <c r="A8" s="112" t="s">
        <v>516</v>
      </c>
      <c r="B8" s="131"/>
      <c r="C8" s="191">
        <v>5000</v>
      </c>
      <c r="D8" s="191">
        <v>5000</v>
      </c>
      <c r="E8" s="191">
        <v>5000</v>
      </c>
      <c r="F8" s="191"/>
      <c r="G8" s="191"/>
      <c r="H8" s="191"/>
      <c r="I8" s="625" t="s">
        <v>734</v>
      </c>
      <c r="J8" s="191"/>
    </row>
    <row r="9" spans="1:10" s="106" customFormat="1" ht="18" x14ac:dyDescent="0.35">
      <c r="A9" s="112" t="s">
        <v>345</v>
      </c>
      <c r="B9" s="112"/>
      <c r="C9" s="191">
        <v>20000</v>
      </c>
      <c r="D9" s="191">
        <v>10000</v>
      </c>
      <c r="E9" s="191"/>
      <c r="F9" s="191"/>
      <c r="G9" s="191">
        <v>5000</v>
      </c>
      <c r="H9" s="191"/>
      <c r="I9" s="626"/>
      <c r="J9" s="191"/>
    </row>
    <row r="10" spans="1:10" s="106" customFormat="1" ht="18" x14ac:dyDescent="0.35">
      <c r="A10" s="112"/>
      <c r="B10" s="112"/>
      <c r="C10" s="191"/>
      <c r="D10" s="191"/>
      <c r="E10" s="191"/>
      <c r="F10" s="191"/>
      <c r="G10" s="191"/>
      <c r="H10" s="191"/>
      <c r="I10" s="191"/>
      <c r="J10" s="191"/>
    </row>
    <row r="11" spans="1:10" s="106" customFormat="1" ht="18" x14ac:dyDescent="0.35">
      <c r="A11" s="112"/>
      <c r="B11" s="112"/>
      <c r="C11" s="191"/>
      <c r="D11" s="191"/>
      <c r="E11" s="191"/>
      <c r="F11" s="191"/>
      <c r="G11" s="191"/>
      <c r="H11" s="191"/>
      <c r="I11" s="191"/>
      <c r="J11" s="191"/>
    </row>
    <row r="12" spans="1:10" s="106" customFormat="1" ht="18" x14ac:dyDescent="0.35">
      <c r="A12" s="112"/>
      <c r="B12" s="112"/>
      <c r="C12" s="191"/>
      <c r="D12" s="191"/>
      <c r="E12" s="191"/>
      <c r="F12" s="191"/>
      <c r="G12" s="191"/>
      <c r="H12" s="191"/>
      <c r="I12" s="191"/>
      <c r="J12" s="191"/>
    </row>
    <row r="13" spans="1:10" s="106" customFormat="1" ht="18" x14ac:dyDescent="0.35">
      <c r="A13" s="112"/>
      <c r="B13" s="112"/>
      <c r="C13" s="191"/>
      <c r="D13" s="191"/>
      <c r="E13" s="191"/>
      <c r="F13" s="191"/>
      <c r="G13" s="191"/>
      <c r="H13" s="191"/>
      <c r="I13" s="340" t="s">
        <v>9</v>
      </c>
      <c r="J13" s="191"/>
    </row>
    <row r="14" spans="1:10" ht="28.5" customHeight="1" thickBot="1" x14ac:dyDescent="0.35">
      <c r="A14" s="107"/>
      <c r="B14" s="108" t="s">
        <v>0</v>
      </c>
      <c r="C14" s="1">
        <f>SUM(C6:C13)</f>
        <v>25000</v>
      </c>
      <c r="D14" s="1">
        <f t="shared" ref="D14:H14" si="0">SUM(D6:D13)</f>
        <v>45000</v>
      </c>
      <c r="E14" s="1">
        <f t="shared" si="0"/>
        <v>5000</v>
      </c>
      <c r="F14" s="1">
        <f t="shared" si="0"/>
        <v>0</v>
      </c>
      <c r="G14" s="1">
        <f t="shared" si="0"/>
        <v>5000</v>
      </c>
      <c r="H14" s="1">
        <f t="shared" si="0"/>
        <v>0</v>
      </c>
      <c r="I14" s="192">
        <f>SUM(C14:H14)</f>
        <v>80000</v>
      </c>
      <c r="J14" s="30"/>
    </row>
    <row r="15" spans="1:10" ht="14.4" thickTop="1" x14ac:dyDescent="0.3"/>
    <row r="16" spans="1:10" x14ac:dyDescent="0.3">
      <c r="B16" s="319" t="s">
        <v>411</v>
      </c>
      <c r="C16" s="17">
        <v>0</v>
      </c>
    </row>
    <row r="17" spans="2:8" x14ac:dyDescent="0.3">
      <c r="C17" s="6"/>
    </row>
    <row r="18" spans="2:8" x14ac:dyDescent="0.3">
      <c r="B18" s="109" t="s">
        <v>660</v>
      </c>
      <c r="C18" s="4">
        <v>70000</v>
      </c>
      <c r="D18" s="4">
        <f>C21</f>
        <v>45000</v>
      </c>
      <c r="E18" s="4">
        <f t="shared" ref="E18:H18" si="1">D21</f>
        <v>0</v>
      </c>
      <c r="F18" s="4">
        <f t="shared" si="1"/>
        <v>0</v>
      </c>
      <c r="G18" s="4">
        <f t="shared" si="1"/>
        <v>5000</v>
      </c>
      <c r="H18" s="4">
        <f t="shared" si="1"/>
        <v>5000</v>
      </c>
    </row>
    <row r="19" spans="2:8" x14ac:dyDescent="0.3">
      <c r="B19" s="65" t="s">
        <v>281</v>
      </c>
      <c r="C19" s="4">
        <v>0</v>
      </c>
      <c r="D19" s="4">
        <v>0</v>
      </c>
      <c r="E19" s="4">
        <v>5000</v>
      </c>
      <c r="F19" s="4">
        <f t="shared" ref="F19:H19" si="2">E19</f>
        <v>5000</v>
      </c>
      <c r="G19" s="4">
        <f t="shared" si="2"/>
        <v>5000</v>
      </c>
      <c r="H19" s="4">
        <f t="shared" si="2"/>
        <v>5000</v>
      </c>
    </row>
    <row r="20" spans="2:8" ht="15.6" x14ac:dyDescent="0.45">
      <c r="B20" s="65" t="s">
        <v>36</v>
      </c>
      <c r="C20" s="56">
        <f>-C14</f>
        <v>-25000</v>
      </c>
      <c r="D20" s="56">
        <f t="shared" ref="D20:H20" si="3">-D14</f>
        <v>-45000</v>
      </c>
      <c r="E20" s="56">
        <f t="shared" si="3"/>
        <v>-5000</v>
      </c>
      <c r="F20" s="56">
        <f t="shared" si="3"/>
        <v>0</v>
      </c>
      <c r="G20" s="56">
        <f t="shared" si="3"/>
        <v>-5000</v>
      </c>
      <c r="H20" s="56">
        <f t="shared" si="3"/>
        <v>0</v>
      </c>
    </row>
    <row r="21" spans="2:8" ht="15.6" x14ac:dyDescent="0.45">
      <c r="B21" s="79" t="s">
        <v>37</v>
      </c>
      <c r="C21" s="63">
        <f t="shared" ref="C21:H21" si="4">SUM(C18:C20)</f>
        <v>45000</v>
      </c>
      <c r="D21" s="63">
        <f t="shared" si="4"/>
        <v>0</v>
      </c>
      <c r="E21" s="63">
        <f t="shared" si="4"/>
        <v>0</v>
      </c>
      <c r="F21" s="63">
        <f t="shared" si="4"/>
        <v>5000</v>
      </c>
      <c r="G21" s="63">
        <f t="shared" si="4"/>
        <v>5000</v>
      </c>
      <c r="H21" s="63">
        <f t="shared" si="4"/>
        <v>10000</v>
      </c>
    </row>
  </sheetData>
  <mergeCells count="2">
    <mergeCell ref="I4:J4"/>
    <mergeCell ref="I8:I9"/>
  </mergeCells>
  <pageMargins left="0.7" right="0.7" top="0.75" bottom="0.75" header="0.3" footer="0.3"/>
  <pageSetup orientation="landscape" r:id="rId1"/>
  <headerFooter>
    <oddHeader>&amp;C&amp;"-,Bold"&amp;12CIP DEPARTMENT INFORMATION REQUEST FORM
DEPARTMENT: CEMETERY EXPANSION</oddHeader>
    <oddFooter>&amp;L&amp;A&amp;RPage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view="pageBreakPreview" topLeftCell="A4" zoomScaleNormal="100" zoomScaleSheetLayoutView="100" workbookViewId="0">
      <selection activeCell="C27" sqref="C27"/>
    </sheetView>
  </sheetViews>
  <sheetFormatPr defaultRowHeight="13.8" x14ac:dyDescent="0.3"/>
  <cols>
    <col min="1" max="1" width="22.33203125" customWidth="1"/>
    <col min="2" max="2" width="25.88671875" customWidth="1"/>
    <col min="3" max="3" width="10.5546875" customWidth="1"/>
    <col min="4" max="4" width="10" customWidth="1"/>
    <col min="5" max="5" width="10.33203125" customWidth="1"/>
    <col min="6" max="6" width="9.88671875" customWidth="1"/>
    <col min="7" max="7" width="9.44140625" bestFit="1" customWidth="1"/>
    <col min="8" max="8" width="11.88671875" bestFit="1" customWidth="1"/>
    <col min="9" max="9" width="14.88671875" customWidth="1"/>
    <col min="10" max="10" width="12.44140625" customWidth="1"/>
    <col min="12" max="17" width="9.109375" style="37"/>
  </cols>
  <sheetData>
    <row r="1" spans="1:17" ht="20.25" customHeight="1" x14ac:dyDescent="0.3">
      <c r="A1" s="252" t="s">
        <v>716</v>
      </c>
      <c r="I1" s="247"/>
      <c r="J1" s="248"/>
    </row>
    <row r="2" spans="1:17" x14ac:dyDescent="0.3">
      <c r="A2" s="252" t="s">
        <v>267</v>
      </c>
    </row>
    <row r="3" spans="1:17" x14ac:dyDescent="0.3">
      <c r="A3" s="252" t="s">
        <v>268</v>
      </c>
      <c r="M3" s="37" t="s">
        <v>146</v>
      </c>
    </row>
    <row r="4" spans="1:17" s="24" customFormat="1" x14ac:dyDescent="0.3">
      <c r="A4" s="264" t="s">
        <v>269</v>
      </c>
      <c r="I4" s="623" t="s">
        <v>412</v>
      </c>
      <c r="J4" s="624"/>
      <c r="M4" s="37" t="s">
        <v>145</v>
      </c>
      <c r="N4" s="37">
        <v>300</v>
      </c>
    </row>
    <row r="5" spans="1:17" s="24" customFormat="1" x14ac:dyDescent="0.3">
      <c r="A5" s="21" t="s">
        <v>3</v>
      </c>
      <c r="B5" s="21" t="s">
        <v>4</v>
      </c>
      <c r="C5" s="22">
        <v>2021</v>
      </c>
      <c r="D5" s="22">
        <f>C5+1</f>
        <v>2022</v>
      </c>
      <c r="E5" s="22">
        <f>D5+1</f>
        <v>2023</v>
      </c>
      <c r="F5" s="22">
        <f>E5+1</f>
        <v>2024</v>
      </c>
      <c r="G5" s="22">
        <f>F5+1</f>
        <v>2025</v>
      </c>
      <c r="H5" s="22">
        <f>G5+1</f>
        <v>2026</v>
      </c>
      <c r="I5" s="21" t="s">
        <v>3</v>
      </c>
      <c r="J5" s="21" t="s">
        <v>2</v>
      </c>
      <c r="N5" s="37">
        <v>60</v>
      </c>
    </row>
    <row r="6" spans="1:17" ht="60" customHeight="1" x14ac:dyDescent="0.3">
      <c r="A6" s="273" t="s">
        <v>284</v>
      </c>
      <c r="B6" s="168" t="s">
        <v>397</v>
      </c>
      <c r="C6" s="302">
        <v>75000</v>
      </c>
      <c r="D6" s="302"/>
      <c r="E6" s="302"/>
      <c r="F6" s="302"/>
      <c r="G6" s="302"/>
      <c r="H6" s="302"/>
      <c r="I6" s="174"/>
      <c r="J6" s="323"/>
      <c r="K6" s="319"/>
      <c r="N6" s="37">
        <f>N4*N5</f>
        <v>18000</v>
      </c>
    </row>
    <row r="7" spans="1:17" s="176" customFormat="1" ht="31.5" customHeight="1" x14ac:dyDescent="0.3">
      <c r="A7" s="273" t="s">
        <v>6</v>
      </c>
      <c r="B7" s="168" t="s">
        <v>288</v>
      </c>
      <c r="C7" s="302"/>
      <c r="D7" s="302"/>
      <c r="E7" s="302"/>
      <c r="F7" s="302"/>
      <c r="G7" s="302"/>
      <c r="H7" s="302"/>
      <c r="I7" s="273" t="s">
        <v>744</v>
      </c>
      <c r="J7" s="323"/>
      <c r="K7" s="319"/>
      <c r="L7" s="37"/>
      <c r="M7" s="37"/>
      <c r="N7" s="37"/>
      <c r="O7" s="37"/>
      <c r="P7" s="37"/>
      <c r="Q7" s="37"/>
    </row>
    <row r="8" spans="1:17" s="319" customFormat="1" ht="19.5" customHeight="1" x14ac:dyDescent="0.3">
      <c r="A8" s="273" t="s">
        <v>38</v>
      </c>
      <c r="B8" s="168" t="s">
        <v>285</v>
      </c>
      <c r="C8" s="302"/>
      <c r="D8" s="302">
        <v>185000</v>
      </c>
      <c r="E8" s="302"/>
      <c r="F8" s="302"/>
      <c r="G8" s="302"/>
      <c r="H8" s="302"/>
      <c r="I8" s="44">
        <v>2027</v>
      </c>
      <c r="J8" s="291">
        <v>200000</v>
      </c>
      <c r="L8" s="326"/>
      <c r="M8" s="326"/>
      <c r="N8" s="326"/>
      <c r="O8" s="326"/>
      <c r="P8" s="326"/>
      <c r="Q8" s="326"/>
    </row>
    <row r="9" spans="1:17" s="102" customFormat="1" ht="19.5" customHeight="1" x14ac:dyDescent="0.3">
      <c r="A9" s="273" t="s">
        <v>409</v>
      </c>
      <c r="B9" s="168" t="s">
        <v>285</v>
      </c>
      <c r="C9" s="302"/>
      <c r="D9" s="302">
        <v>60000</v>
      </c>
      <c r="E9" s="302"/>
      <c r="F9" s="302"/>
      <c r="G9" s="302"/>
      <c r="H9" s="302"/>
      <c r="I9" s="323"/>
      <c r="J9" s="323"/>
      <c r="K9" s="319"/>
      <c r="L9" s="37"/>
      <c r="M9" s="37"/>
      <c r="N9" s="37"/>
      <c r="O9" s="37"/>
      <c r="P9" s="37"/>
      <c r="Q9" s="37"/>
    </row>
    <row r="10" spans="1:17" s="102" customFormat="1" ht="19.5" customHeight="1" x14ac:dyDescent="0.3">
      <c r="A10" s="273" t="s">
        <v>5</v>
      </c>
      <c r="B10" s="168" t="s">
        <v>286</v>
      </c>
      <c r="C10" s="302"/>
      <c r="D10" s="302"/>
      <c r="E10" s="302">
        <v>80000</v>
      </c>
      <c r="F10" s="302"/>
      <c r="G10" s="302"/>
      <c r="H10" s="302"/>
      <c r="I10" s="323"/>
      <c r="J10" s="323"/>
      <c r="K10" s="319"/>
      <c r="L10" s="37"/>
      <c r="M10" s="37"/>
      <c r="N10" s="37"/>
      <c r="O10" s="37"/>
      <c r="P10" s="37"/>
      <c r="Q10" s="37"/>
    </row>
    <row r="11" spans="1:17" s="13" customFormat="1" ht="27.75" customHeight="1" x14ac:dyDescent="0.35">
      <c r="A11" s="273" t="s">
        <v>156</v>
      </c>
      <c r="B11" s="168" t="s">
        <v>157</v>
      </c>
      <c r="C11" s="302"/>
      <c r="D11" s="302"/>
      <c r="E11" s="302">
        <v>150000</v>
      </c>
      <c r="F11" s="302"/>
      <c r="G11" s="302"/>
      <c r="H11" s="302"/>
      <c r="I11" s="174"/>
      <c r="J11" s="323"/>
      <c r="K11" s="319"/>
      <c r="L11" s="37"/>
      <c r="M11" s="37"/>
      <c r="N11" s="37"/>
      <c r="O11" s="37"/>
      <c r="P11" s="37"/>
      <c r="Q11" s="37"/>
    </row>
    <row r="12" spans="1:17" s="13" customFormat="1" ht="18" x14ac:dyDescent="0.35">
      <c r="A12" s="273" t="s">
        <v>158</v>
      </c>
      <c r="B12" s="168"/>
      <c r="C12" s="302"/>
      <c r="D12" s="302"/>
      <c r="E12" s="302"/>
      <c r="F12" s="302">
        <v>200000</v>
      </c>
      <c r="G12" s="302"/>
      <c r="H12" s="302"/>
      <c r="I12" s="174"/>
      <c r="J12" s="323"/>
      <c r="K12" s="319"/>
      <c r="L12" s="37"/>
      <c r="M12" s="37"/>
      <c r="N12" s="37"/>
      <c r="O12" s="37"/>
      <c r="P12" s="37"/>
      <c r="Q12" s="37"/>
    </row>
    <row r="13" spans="1:17" s="106" customFormat="1" ht="18" x14ac:dyDescent="0.35">
      <c r="A13" s="273" t="s">
        <v>287</v>
      </c>
      <c r="B13" s="168"/>
      <c r="C13" s="302"/>
      <c r="D13" s="302"/>
      <c r="E13" s="302"/>
      <c r="F13" s="302"/>
      <c r="G13" s="302">
        <v>200000</v>
      </c>
      <c r="H13" s="302"/>
      <c r="I13" s="323"/>
      <c r="J13" s="323"/>
      <c r="K13" s="319"/>
      <c r="L13" s="37"/>
      <c r="M13" s="37"/>
      <c r="N13" s="37"/>
      <c r="O13" s="37"/>
      <c r="P13" s="37"/>
      <c r="Q13" s="37"/>
    </row>
    <row r="14" spans="1:17" s="106" customFormat="1" ht="18" x14ac:dyDescent="0.35">
      <c r="A14" s="273" t="s">
        <v>410</v>
      </c>
      <c r="B14" s="168"/>
      <c r="C14" s="302"/>
      <c r="D14" s="302"/>
      <c r="E14" s="302"/>
      <c r="F14" s="302"/>
      <c r="G14" s="302"/>
      <c r="H14" s="302">
        <v>150000</v>
      </c>
      <c r="I14" s="323"/>
      <c r="J14" s="298"/>
      <c r="K14" s="319"/>
      <c r="L14" s="37"/>
      <c r="M14" s="37"/>
      <c r="N14" s="37"/>
      <c r="O14" s="37"/>
      <c r="P14" s="37"/>
      <c r="Q14" s="37"/>
    </row>
    <row r="15" spans="1:17" s="106" customFormat="1" ht="18" x14ac:dyDescent="0.35">
      <c r="A15" s="273" t="s">
        <v>70</v>
      </c>
      <c r="B15" s="168"/>
      <c r="C15" s="302"/>
      <c r="D15" s="302"/>
      <c r="E15" s="302"/>
      <c r="F15" s="302"/>
      <c r="G15" s="302"/>
      <c r="H15" s="302"/>
      <c r="I15" s="44">
        <v>2027</v>
      </c>
      <c r="J15" s="291">
        <v>250000</v>
      </c>
      <c r="K15" s="319"/>
      <c r="L15" s="37"/>
      <c r="M15" s="37"/>
      <c r="N15" s="37"/>
      <c r="O15" s="37"/>
      <c r="P15" s="37"/>
      <c r="Q15" s="37"/>
    </row>
    <row r="16" spans="1:17" s="322" customFormat="1" ht="18" x14ac:dyDescent="0.35">
      <c r="A16" s="273" t="s">
        <v>512</v>
      </c>
      <c r="B16" s="168" t="s">
        <v>515</v>
      </c>
      <c r="C16" s="302"/>
      <c r="D16" s="302"/>
      <c r="E16" s="302"/>
      <c r="F16" s="302"/>
      <c r="G16" s="302"/>
      <c r="H16" s="302"/>
      <c r="I16" s="44" t="s">
        <v>513</v>
      </c>
      <c r="J16" s="291">
        <v>100000</v>
      </c>
      <c r="K16" s="319"/>
      <c r="L16" s="326"/>
      <c r="M16" s="326"/>
      <c r="N16" s="326"/>
      <c r="O16" s="326"/>
      <c r="P16" s="326"/>
      <c r="Q16" s="326"/>
    </row>
    <row r="17" spans="1:17" s="13" customFormat="1" ht="18" x14ac:dyDescent="0.35">
      <c r="A17" s="273" t="s">
        <v>45</v>
      </c>
      <c r="B17" s="168" t="s">
        <v>54</v>
      </c>
      <c r="C17" s="302">
        <v>10000</v>
      </c>
      <c r="D17" s="302">
        <v>7000</v>
      </c>
      <c r="E17" s="302">
        <v>7000</v>
      </c>
      <c r="F17" s="302">
        <v>7000</v>
      </c>
      <c r="G17" s="302">
        <v>7000</v>
      </c>
      <c r="H17" s="302">
        <v>7000</v>
      </c>
      <c r="I17" s="44"/>
      <c r="J17" s="323"/>
      <c r="K17" s="319"/>
      <c r="L17" s="37"/>
      <c r="N17" s="106"/>
      <c r="O17" s="37"/>
      <c r="P17" s="37"/>
      <c r="Q17" s="37"/>
    </row>
    <row r="18" spans="1:17" s="13" customFormat="1" ht="18" x14ac:dyDescent="0.35">
      <c r="A18" s="78"/>
      <c r="B18" s="20"/>
      <c r="C18" s="18"/>
      <c r="D18" s="19"/>
      <c r="E18" s="18"/>
      <c r="F18" s="17"/>
      <c r="G18" s="17"/>
      <c r="H18" s="17"/>
      <c r="I18" s="55" t="s">
        <v>9</v>
      </c>
      <c r="J18" s="17"/>
      <c r="L18" s="37"/>
      <c r="N18" s="106"/>
      <c r="O18" s="37"/>
      <c r="P18" s="37"/>
      <c r="Q18" s="37"/>
    </row>
    <row r="19" spans="1:17" ht="28.5" customHeight="1" thickBot="1" x14ac:dyDescent="0.35">
      <c r="A19" s="12"/>
      <c r="B19" s="11" t="s">
        <v>0</v>
      </c>
      <c r="C19" s="10">
        <f t="shared" ref="C19:H19" si="0">SUM(C6:C18)</f>
        <v>85000</v>
      </c>
      <c r="D19" s="10">
        <f t="shared" si="0"/>
        <v>252000</v>
      </c>
      <c r="E19" s="10">
        <f t="shared" si="0"/>
        <v>237000</v>
      </c>
      <c r="F19" s="10">
        <f t="shared" si="0"/>
        <v>207000</v>
      </c>
      <c r="G19" s="10">
        <f t="shared" si="0"/>
        <v>207000</v>
      </c>
      <c r="H19" s="10">
        <f t="shared" si="0"/>
        <v>157000</v>
      </c>
      <c r="I19" s="9">
        <f>SUM(C19:H19)</f>
        <v>1145000</v>
      </c>
      <c r="J19" s="10">
        <f>SUM(J7:J18)</f>
        <v>550000</v>
      </c>
    </row>
    <row r="20" spans="1:17" ht="14.4" thickTop="1" x14ac:dyDescent="0.3">
      <c r="I20" s="298">
        <v>0</v>
      </c>
      <c r="J20" s="6"/>
      <c r="K20" s="3"/>
    </row>
    <row r="21" spans="1:17" x14ac:dyDescent="0.3">
      <c r="I21" s="323">
        <f>I19-I20</f>
        <v>1145000</v>
      </c>
      <c r="J21" s="6"/>
      <c r="K21" s="3"/>
    </row>
    <row r="22" spans="1:17" x14ac:dyDescent="0.3">
      <c r="A22" s="120"/>
      <c r="I22" s="6">
        <v>6</v>
      </c>
      <c r="J22" s="324" t="s">
        <v>112</v>
      </c>
    </row>
    <row r="23" spans="1:17" x14ac:dyDescent="0.3">
      <c r="B23" s="109" t="s">
        <v>411</v>
      </c>
      <c r="C23" s="299">
        <v>160000</v>
      </c>
      <c r="I23" s="323">
        <f>I21/I22</f>
        <v>190833.33333333334</v>
      </c>
      <c r="J23" s="324"/>
    </row>
    <row r="24" spans="1:17" x14ac:dyDescent="0.3">
      <c r="B24" s="109"/>
      <c r="C24" s="109"/>
      <c r="J24" s="324"/>
    </row>
    <row r="25" spans="1:17" x14ac:dyDescent="0.3">
      <c r="B25" s="109" t="s">
        <v>660</v>
      </c>
      <c r="C25" s="137">
        <v>419000</v>
      </c>
      <c r="D25" s="4">
        <f>C31</f>
        <v>389000</v>
      </c>
      <c r="E25" s="4">
        <f t="shared" ref="E25:H25" si="1">D31</f>
        <v>287000</v>
      </c>
      <c r="F25" s="4">
        <f t="shared" si="1"/>
        <v>275000</v>
      </c>
      <c r="G25" s="4">
        <f t="shared" si="1"/>
        <v>218000</v>
      </c>
      <c r="H25" s="4">
        <f t="shared" si="1"/>
        <v>161000</v>
      </c>
      <c r="I25" s="4"/>
      <c r="J25" s="4"/>
    </row>
    <row r="26" spans="1:17" x14ac:dyDescent="0.3">
      <c r="A26" s="324">
        <v>0</v>
      </c>
      <c r="B26" s="215" t="s">
        <v>743</v>
      </c>
      <c r="C26" s="324">
        <v>-95000</v>
      </c>
      <c r="D26" s="324">
        <v>0</v>
      </c>
      <c r="E26" s="324">
        <v>0</v>
      </c>
      <c r="F26" s="324">
        <v>0</v>
      </c>
      <c r="G26" s="324">
        <v>0</v>
      </c>
      <c r="H26" s="324">
        <v>0</v>
      </c>
    </row>
    <row r="27" spans="1:17" s="319" customFormat="1" x14ac:dyDescent="0.3">
      <c r="B27" s="215" t="s">
        <v>281</v>
      </c>
      <c r="C27" s="70">
        <v>150000</v>
      </c>
      <c r="D27" s="4">
        <f>C27</f>
        <v>150000</v>
      </c>
      <c r="E27" s="4">
        <f>D27</f>
        <v>150000</v>
      </c>
      <c r="F27" s="4">
        <f t="shared" ref="F27:H27" si="2">E27</f>
        <v>150000</v>
      </c>
      <c r="G27" s="4">
        <f t="shared" si="2"/>
        <v>150000</v>
      </c>
      <c r="H27" s="4">
        <f t="shared" si="2"/>
        <v>150000</v>
      </c>
      <c r="L27" s="326"/>
      <c r="M27" s="326"/>
      <c r="N27" s="326"/>
      <c r="O27" s="326"/>
      <c r="P27" s="326"/>
      <c r="Q27" s="326"/>
    </row>
    <row r="28" spans="1:17" x14ac:dyDescent="0.3">
      <c r="B28" s="215" t="s">
        <v>84</v>
      </c>
      <c r="C28" s="70">
        <v>0</v>
      </c>
      <c r="D28" s="287">
        <v>0</v>
      </c>
      <c r="E28" s="287">
        <v>0</v>
      </c>
      <c r="F28" s="287">
        <v>0</v>
      </c>
      <c r="G28" s="287">
        <v>0</v>
      </c>
      <c r="H28" s="287">
        <v>0</v>
      </c>
    </row>
    <row r="29" spans="1:17" s="277" customFormat="1" x14ac:dyDescent="0.3">
      <c r="B29" s="215" t="s">
        <v>350</v>
      </c>
      <c r="C29" s="70">
        <v>0</v>
      </c>
      <c r="D29" s="324">
        <v>0</v>
      </c>
      <c r="E29" s="324">
        <v>75000</v>
      </c>
      <c r="F29" s="324">
        <v>0</v>
      </c>
      <c r="G29" s="324">
        <v>0</v>
      </c>
      <c r="H29" s="324">
        <v>0</v>
      </c>
      <c r="L29" s="296"/>
      <c r="M29" s="296"/>
      <c r="N29" s="296"/>
      <c r="O29" s="296"/>
      <c r="P29" s="296"/>
      <c r="Q29" s="296"/>
    </row>
    <row r="30" spans="1:17" s="319" customFormat="1" ht="15.6" x14ac:dyDescent="0.45">
      <c r="B30" s="65" t="s">
        <v>36</v>
      </c>
      <c r="C30" s="56">
        <f t="shared" ref="C30:H30" si="3">-C19</f>
        <v>-85000</v>
      </c>
      <c r="D30" s="56">
        <f t="shared" si="3"/>
        <v>-252000</v>
      </c>
      <c r="E30" s="56">
        <f t="shared" si="3"/>
        <v>-237000</v>
      </c>
      <c r="F30" s="56">
        <f t="shared" si="3"/>
        <v>-207000</v>
      </c>
      <c r="G30" s="56">
        <f t="shared" si="3"/>
        <v>-207000</v>
      </c>
      <c r="H30" s="56">
        <f t="shared" si="3"/>
        <v>-157000</v>
      </c>
      <c r="L30" s="326"/>
      <c r="M30" s="326"/>
      <c r="N30" s="326"/>
      <c r="O30" s="326"/>
      <c r="P30" s="326"/>
      <c r="Q30" s="326"/>
    </row>
    <row r="31" spans="1:17" ht="15.6" x14ac:dyDescent="0.45">
      <c r="B31" s="79" t="s">
        <v>37</v>
      </c>
      <c r="C31" s="63">
        <f>SUM(C25:C30)</f>
        <v>389000</v>
      </c>
      <c r="D31" s="289">
        <f t="shared" ref="D31:H31" si="4">SUM(D25:D30)</f>
        <v>287000</v>
      </c>
      <c r="E31" s="289">
        <f t="shared" si="4"/>
        <v>275000</v>
      </c>
      <c r="F31" s="63">
        <f t="shared" si="4"/>
        <v>218000</v>
      </c>
      <c r="G31" s="63">
        <f t="shared" si="4"/>
        <v>161000</v>
      </c>
      <c r="H31" s="63">
        <f t="shared" si="4"/>
        <v>154000</v>
      </c>
    </row>
    <row r="35" spans="1:17" x14ac:dyDescent="0.3">
      <c r="A35" s="269"/>
      <c r="B35" s="319"/>
      <c r="C35" s="65"/>
      <c r="D35" s="319"/>
      <c r="E35" s="319"/>
      <c r="F35" s="319"/>
      <c r="G35" s="319"/>
      <c r="H35" s="319"/>
      <c r="I35" s="319"/>
    </row>
    <row r="36" spans="1:17" s="319" customFormat="1" x14ac:dyDescent="0.3">
      <c r="A36" s="269"/>
      <c r="C36" s="65"/>
      <c r="L36" s="326"/>
      <c r="M36" s="326"/>
      <c r="N36" s="326"/>
      <c r="O36" s="326"/>
      <c r="P36" s="326"/>
      <c r="Q36" s="326"/>
    </row>
    <row r="37" spans="1:17" x14ac:dyDescent="0.3">
      <c r="A37" s="319"/>
      <c r="B37" s="319"/>
      <c r="C37" s="65"/>
      <c r="D37" s="319"/>
      <c r="E37" s="319"/>
      <c r="F37" s="92"/>
      <c r="G37" s="319"/>
      <c r="H37" s="319"/>
      <c r="I37" s="319"/>
    </row>
    <row r="38" spans="1:17" s="319" customFormat="1" ht="15.6" x14ac:dyDescent="0.45">
      <c r="E38" s="387"/>
      <c r="F38" s="387"/>
      <c r="G38" s="386"/>
      <c r="L38" s="326"/>
      <c r="M38" s="326"/>
      <c r="N38" s="326"/>
      <c r="O38" s="326"/>
      <c r="P38" s="326"/>
      <c r="Q38" s="326"/>
    </row>
    <row r="39" spans="1:17" s="319" customFormat="1" x14ac:dyDescent="0.3">
      <c r="C39" s="65"/>
      <c r="E39" s="324"/>
      <c r="F39" s="324"/>
      <c r="G39" s="324"/>
      <c r="L39" s="326"/>
      <c r="M39" s="326"/>
      <c r="N39" s="326"/>
      <c r="O39" s="326"/>
      <c r="P39" s="326"/>
      <c r="Q39" s="326"/>
    </row>
    <row r="40" spans="1:17" s="319" customFormat="1" ht="15.6" x14ac:dyDescent="0.45">
      <c r="C40" s="65"/>
      <c r="E40" s="325"/>
      <c r="F40" s="325"/>
      <c r="G40" s="325"/>
      <c r="L40" s="326"/>
      <c r="M40" s="326"/>
      <c r="N40" s="326"/>
      <c r="O40" s="326"/>
      <c r="P40" s="326"/>
      <c r="Q40" s="326"/>
    </row>
    <row r="41" spans="1:17" s="319" customFormat="1" ht="15.6" x14ac:dyDescent="0.45">
      <c r="C41" s="365"/>
      <c r="E41" s="289"/>
      <c r="F41" s="289"/>
      <c r="G41" s="289"/>
      <c r="L41" s="326"/>
      <c r="M41" s="326"/>
      <c r="N41" s="326"/>
      <c r="O41" s="326"/>
      <c r="P41" s="326"/>
      <c r="Q41" s="326"/>
    </row>
    <row r="42" spans="1:17" s="319" customFormat="1" x14ac:dyDescent="0.3">
      <c r="C42" s="65"/>
      <c r="L42" s="326"/>
      <c r="M42" s="326"/>
      <c r="N42" s="326"/>
      <c r="O42" s="326"/>
      <c r="P42" s="326"/>
      <c r="Q42" s="326"/>
    </row>
    <row r="43" spans="1:17" x14ac:dyDescent="0.3">
      <c r="A43" s="319"/>
      <c r="B43" s="319"/>
      <c r="C43" s="351"/>
      <c r="D43" s="319"/>
      <c r="E43" s="319"/>
      <c r="F43" s="319"/>
      <c r="G43" s="319"/>
      <c r="H43" s="319"/>
      <c r="I43" s="319"/>
    </row>
    <row r="44" spans="1:17" x14ac:dyDescent="0.3">
      <c r="A44" s="319"/>
      <c r="B44" s="319"/>
      <c r="C44" s="65"/>
      <c r="D44" s="319"/>
      <c r="E44" s="319"/>
      <c r="F44" s="319"/>
      <c r="G44" s="319"/>
      <c r="H44" s="319"/>
      <c r="I44" s="319"/>
    </row>
    <row r="45" spans="1:17" x14ac:dyDescent="0.3">
      <c r="A45" s="319"/>
      <c r="B45" s="319"/>
      <c r="C45" s="65"/>
      <c r="D45" s="319"/>
      <c r="E45" s="319"/>
      <c r="F45" s="319"/>
      <c r="G45" s="319"/>
      <c r="H45" s="319"/>
      <c r="I45" s="319"/>
    </row>
    <row r="46" spans="1:17" x14ac:dyDescent="0.3">
      <c r="A46" s="319"/>
      <c r="B46" s="319"/>
      <c r="C46" s="65"/>
      <c r="D46" s="319"/>
      <c r="E46" s="319"/>
      <c r="F46" s="319"/>
      <c r="G46" s="319"/>
      <c r="H46" s="319"/>
      <c r="I46" s="319"/>
    </row>
    <row r="47" spans="1:17" x14ac:dyDescent="0.3">
      <c r="A47" s="319"/>
      <c r="B47" s="319"/>
      <c r="C47" s="65"/>
      <c r="D47" s="319"/>
      <c r="E47" s="319"/>
      <c r="F47" s="319"/>
      <c r="G47" s="319"/>
      <c r="H47" s="319"/>
      <c r="I47" s="319"/>
    </row>
    <row r="48" spans="1:17" x14ac:dyDescent="0.3">
      <c r="A48" s="319"/>
      <c r="B48" s="319"/>
      <c r="C48" s="65"/>
      <c r="D48" s="319"/>
      <c r="E48" s="319"/>
      <c r="F48" s="319"/>
      <c r="G48" s="319"/>
      <c r="H48" s="319"/>
      <c r="I48" s="319"/>
    </row>
    <row r="49" spans="1:9" x14ac:dyDescent="0.3">
      <c r="A49" s="319"/>
      <c r="B49" s="319"/>
      <c r="C49" s="65"/>
      <c r="D49" s="319"/>
      <c r="E49" s="319"/>
      <c r="F49" s="319"/>
      <c r="G49" s="319"/>
      <c r="H49" s="319"/>
      <c r="I49" s="319"/>
    </row>
    <row r="50" spans="1:9" x14ac:dyDescent="0.3">
      <c r="A50" s="319"/>
      <c r="B50" s="319"/>
      <c r="C50" s="319"/>
      <c r="D50" s="319"/>
      <c r="E50" s="319"/>
      <c r="F50" s="319"/>
      <c r="G50" s="319"/>
      <c r="H50" s="319"/>
      <c r="I50" s="319"/>
    </row>
    <row r="51" spans="1:9" x14ac:dyDescent="0.3">
      <c r="A51" s="319"/>
      <c r="B51" s="319"/>
      <c r="C51" s="319"/>
      <c r="D51" s="319"/>
      <c r="E51" s="319"/>
      <c r="F51" s="319"/>
      <c r="G51" s="319"/>
      <c r="H51" s="324"/>
      <c r="I51" s="319"/>
    </row>
    <row r="52" spans="1:9" x14ac:dyDescent="0.3">
      <c r="A52" s="319"/>
      <c r="B52" s="319"/>
      <c r="C52" s="319"/>
      <c r="D52" s="65"/>
      <c r="E52" s="319"/>
      <c r="F52" s="319"/>
      <c r="G52" s="324"/>
      <c r="H52" s="324"/>
      <c r="I52" s="319"/>
    </row>
    <row r="53" spans="1:9" x14ac:dyDescent="0.3">
      <c r="A53" s="319"/>
      <c r="B53" s="319"/>
      <c r="C53" s="319"/>
      <c r="D53" s="65"/>
      <c r="E53" s="319"/>
      <c r="F53" s="319"/>
      <c r="G53" s="324"/>
      <c r="H53" s="324"/>
      <c r="I53" s="319"/>
    </row>
    <row r="54" spans="1:9" x14ac:dyDescent="0.3">
      <c r="A54" s="319"/>
      <c r="B54" s="319"/>
      <c r="C54" s="319"/>
      <c r="D54" s="65"/>
      <c r="E54" s="319"/>
      <c r="F54" s="319"/>
      <c r="G54" s="324"/>
      <c r="H54" s="324"/>
      <c r="I54" s="319"/>
    </row>
    <row r="55" spans="1:9" ht="15.6" x14ac:dyDescent="0.45">
      <c r="A55" s="319"/>
      <c r="B55" s="319"/>
      <c r="C55" s="319"/>
      <c r="D55" s="65"/>
      <c r="E55" s="319"/>
      <c r="F55" s="319"/>
      <c r="G55" s="325"/>
      <c r="H55" s="324"/>
      <c r="I55" s="319"/>
    </row>
    <row r="56" spans="1:9" x14ac:dyDescent="0.3">
      <c r="A56" s="319"/>
      <c r="B56" s="319"/>
      <c r="C56" s="319"/>
      <c r="D56" s="319"/>
      <c r="E56" s="319"/>
      <c r="F56" s="319"/>
      <c r="G56" s="324"/>
      <c r="H56" s="324"/>
      <c r="I56" s="319"/>
    </row>
    <row r="57" spans="1:9" ht="15.6" x14ac:dyDescent="0.45">
      <c r="A57" s="319"/>
      <c r="B57" s="319"/>
      <c r="C57" s="319"/>
      <c r="D57" s="198"/>
      <c r="E57" s="319"/>
      <c r="F57" s="319"/>
      <c r="G57" s="352"/>
      <c r="H57" s="324"/>
      <c r="I57" s="319"/>
    </row>
    <row r="58" spans="1:9" x14ac:dyDescent="0.3">
      <c r="A58" s="319"/>
      <c r="B58" s="319"/>
      <c r="C58" s="319"/>
      <c r="D58" s="319"/>
      <c r="E58" s="319"/>
      <c r="F58" s="319"/>
      <c r="G58" s="324"/>
      <c r="H58" s="324"/>
      <c r="I58" s="319"/>
    </row>
    <row r="59" spans="1:9" ht="15.6" x14ac:dyDescent="0.45">
      <c r="A59" s="319"/>
      <c r="B59" s="319"/>
      <c r="C59" s="319"/>
      <c r="D59" s="319"/>
      <c r="E59" s="319"/>
      <c r="F59" s="319"/>
      <c r="G59" s="289"/>
      <c r="H59" s="324"/>
      <c r="I59" s="319"/>
    </row>
    <row r="60" spans="1:9" x14ac:dyDescent="0.3">
      <c r="A60" s="319"/>
      <c r="B60" s="319"/>
      <c r="C60" s="319"/>
      <c r="D60" s="319"/>
      <c r="E60" s="319"/>
      <c r="F60" s="319"/>
      <c r="G60" s="319"/>
      <c r="H60" s="319"/>
      <c r="I60" s="319"/>
    </row>
    <row r="61" spans="1:9" x14ac:dyDescent="0.3">
      <c r="A61" s="319"/>
      <c r="B61" s="319"/>
      <c r="C61" s="319"/>
      <c r="D61" s="319"/>
      <c r="E61" s="319"/>
      <c r="F61" s="319"/>
      <c r="G61" s="319"/>
      <c r="H61" s="319"/>
      <c r="I61" s="319"/>
    </row>
    <row r="62" spans="1:9" x14ac:dyDescent="0.3">
      <c r="A62" s="319"/>
      <c r="B62" s="319"/>
      <c r="C62" s="319"/>
      <c r="D62" s="319"/>
      <c r="E62" s="319"/>
      <c r="F62" s="319"/>
      <c r="G62" s="319"/>
      <c r="H62" s="319"/>
      <c r="I62" s="319"/>
    </row>
  </sheetData>
  <mergeCells count="1">
    <mergeCell ref="I4:J4"/>
  </mergeCells>
  <pageMargins left="0.7" right="0.7" top="0.75" bottom="0.75" header="0.3" footer="0.3"/>
  <pageSetup scale="86" orientation="landscape" r:id="rId1"/>
  <headerFooter>
    <oddHeader>&amp;C&amp;"-,Bold"&amp;12CIP DEPARTMENT INFORMATION REQUEST FORM
DEPARTMENT:   HIGHWAY and CEMETERY EQUIPMENT</oddHeader>
    <oddFooter>&amp;L&amp;A&amp;RPage &amp;P of &amp;N</oddFooter>
  </headerFooter>
  <rowBreaks count="2" manualBreakCount="2">
    <brk id="31" max="9" man="1"/>
    <brk id="33"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view="pageBreakPreview" zoomScale="120" zoomScaleNormal="60" zoomScaleSheetLayoutView="120" zoomScalePageLayoutView="130" workbookViewId="0"/>
  </sheetViews>
  <sheetFormatPr defaultColWidth="8.88671875" defaultRowHeight="14.4" x14ac:dyDescent="0.3"/>
  <cols>
    <col min="1" max="1" width="6.88671875" style="422" bestFit="1" customWidth="1"/>
    <col min="2" max="2" width="24.6640625" style="422" bestFit="1" customWidth="1"/>
    <col min="3" max="3" width="7.5546875" style="422" customWidth="1"/>
    <col min="4" max="4" width="4.109375" style="422" bestFit="1" customWidth="1"/>
    <col min="5" max="5" width="10.88671875" style="422" bestFit="1" customWidth="1"/>
    <col min="6" max="6" width="19.88671875" style="422" customWidth="1"/>
    <col min="7" max="7" width="17.44140625" style="422" customWidth="1"/>
    <col min="8" max="8" width="22.33203125" style="422" customWidth="1"/>
    <col min="9" max="16384" width="8.88671875" style="422"/>
  </cols>
  <sheetData>
    <row r="1" spans="1:8" x14ac:dyDescent="0.3">
      <c r="A1" s="422" t="s">
        <v>716</v>
      </c>
    </row>
    <row r="4" spans="1:8" ht="22.5" customHeight="1" x14ac:dyDescent="0.3">
      <c r="A4" s="441" t="s">
        <v>427</v>
      </c>
      <c r="B4" s="441" t="s">
        <v>428</v>
      </c>
      <c r="C4" s="441" t="s">
        <v>429</v>
      </c>
      <c r="D4" s="441" t="s">
        <v>430</v>
      </c>
      <c r="E4" s="441" t="s">
        <v>431</v>
      </c>
      <c r="F4" s="442" t="s">
        <v>432</v>
      </c>
      <c r="G4" s="442" t="s">
        <v>433</v>
      </c>
      <c r="H4" s="442" t="s">
        <v>434</v>
      </c>
    </row>
    <row r="5" spans="1:8" ht="23.25" customHeight="1" x14ac:dyDescent="0.3">
      <c r="A5" s="423">
        <v>2018</v>
      </c>
      <c r="B5" s="423" t="s">
        <v>479</v>
      </c>
      <c r="C5" s="425" t="s">
        <v>480</v>
      </c>
      <c r="D5" s="423">
        <v>1</v>
      </c>
      <c r="E5" s="443">
        <v>38918</v>
      </c>
      <c r="F5" s="444">
        <v>110000</v>
      </c>
      <c r="G5" s="423">
        <v>2027</v>
      </c>
      <c r="H5" s="423">
        <v>2027</v>
      </c>
    </row>
    <row r="6" spans="1:8" ht="23.25" customHeight="1" x14ac:dyDescent="0.3">
      <c r="A6" s="428">
        <v>2013</v>
      </c>
      <c r="B6" s="428" t="s">
        <v>481</v>
      </c>
      <c r="C6" s="430" t="s">
        <v>482</v>
      </c>
      <c r="D6" s="428">
        <v>2</v>
      </c>
      <c r="E6" s="445">
        <v>38847</v>
      </c>
      <c r="F6" s="446">
        <v>165000</v>
      </c>
      <c r="G6" s="428">
        <v>2028</v>
      </c>
      <c r="H6" s="428">
        <v>2028</v>
      </c>
    </row>
    <row r="7" spans="1:8" ht="23.25" customHeight="1" x14ac:dyDescent="0.3">
      <c r="A7" s="423">
        <v>2020</v>
      </c>
      <c r="B7" s="423" t="s">
        <v>481</v>
      </c>
      <c r="C7" s="425" t="s">
        <v>482</v>
      </c>
      <c r="D7" s="423">
        <v>3</v>
      </c>
      <c r="E7" s="443">
        <v>1938</v>
      </c>
      <c r="F7" s="444">
        <v>165000</v>
      </c>
      <c r="G7" s="423">
        <v>2035</v>
      </c>
      <c r="H7" s="423">
        <v>2035</v>
      </c>
    </row>
    <row r="8" spans="1:8" ht="24" customHeight="1" x14ac:dyDescent="0.3">
      <c r="A8" s="428">
        <v>2016</v>
      </c>
      <c r="B8" s="428" t="s">
        <v>481</v>
      </c>
      <c r="C8" s="430" t="s">
        <v>482</v>
      </c>
      <c r="D8" s="428">
        <v>4</v>
      </c>
      <c r="E8" s="445">
        <v>20043</v>
      </c>
      <c r="F8" s="446">
        <v>165000</v>
      </c>
      <c r="G8" s="428">
        <v>2031</v>
      </c>
      <c r="H8" s="428">
        <v>2031</v>
      </c>
    </row>
    <row r="9" spans="1:8" ht="22.5" customHeight="1" x14ac:dyDescent="0.3">
      <c r="A9" s="423">
        <v>2007</v>
      </c>
      <c r="B9" s="423" t="s">
        <v>481</v>
      </c>
      <c r="C9" s="425" t="s">
        <v>482</v>
      </c>
      <c r="D9" s="423">
        <v>5</v>
      </c>
      <c r="E9" s="443">
        <v>63770</v>
      </c>
      <c r="F9" s="444">
        <v>185000</v>
      </c>
      <c r="G9" s="423">
        <v>2021</v>
      </c>
      <c r="H9" s="423">
        <v>2022</v>
      </c>
    </row>
    <row r="10" spans="1:8" ht="22.5" customHeight="1" x14ac:dyDescent="0.3">
      <c r="A10" s="428">
        <v>2008</v>
      </c>
      <c r="B10" s="428" t="s">
        <v>483</v>
      </c>
      <c r="C10" s="430" t="s">
        <v>482</v>
      </c>
      <c r="D10" s="428">
        <v>6</v>
      </c>
      <c r="E10" s="445">
        <v>94478</v>
      </c>
      <c r="F10" s="446">
        <v>120000</v>
      </c>
      <c r="G10" s="428" t="s">
        <v>437</v>
      </c>
      <c r="H10" s="428">
        <v>2020</v>
      </c>
    </row>
    <row r="11" spans="1:8" ht="24" customHeight="1" x14ac:dyDescent="0.3">
      <c r="A11" s="423">
        <v>2013</v>
      </c>
      <c r="B11" s="423" t="s">
        <v>483</v>
      </c>
      <c r="C11" s="425" t="s">
        <v>482</v>
      </c>
      <c r="D11" s="423">
        <v>7</v>
      </c>
      <c r="E11" s="443">
        <v>70284</v>
      </c>
      <c r="F11" s="444">
        <v>130000</v>
      </c>
      <c r="G11" s="423">
        <v>2023</v>
      </c>
      <c r="H11" s="423">
        <v>2021</v>
      </c>
    </row>
    <row r="12" spans="1:8" ht="24" customHeight="1" x14ac:dyDescent="0.3">
      <c r="A12" s="428">
        <v>2006</v>
      </c>
      <c r="B12" s="428" t="s">
        <v>484</v>
      </c>
      <c r="C12" s="430" t="s">
        <v>480</v>
      </c>
      <c r="D12" s="428">
        <v>8</v>
      </c>
      <c r="E12" s="445">
        <v>82657</v>
      </c>
      <c r="F12" s="446">
        <v>80000</v>
      </c>
      <c r="G12" s="428">
        <v>2021</v>
      </c>
      <c r="H12" s="428">
        <v>2021</v>
      </c>
    </row>
    <row r="13" spans="1:8" ht="24" customHeight="1" x14ac:dyDescent="0.3">
      <c r="A13" s="423">
        <v>2007</v>
      </c>
      <c r="B13" s="423" t="s">
        <v>485</v>
      </c>
      <c r="C13" s="425" t="s">
        <v>480</v>
      </c>
      <c r="D13" s="423">
        <v>30</v>
      </c>
      <c r="E13" s="443">
        <v>70112</v>
      </c>
      <c r="F13" s="444">
        <v>40000</v>
      </c>
      <c r="G13" s="423" t="s">
        <v>437</v>
      </c>
      <c r="H13" s="423"/>
    </row>
    <row r="14" spans="1:8" ht="23.25" customHeight="1" x14ac:dyDescent="0.3">
      <c r="A14" s="428">
        <v>2004</v>
      </c>
      <c r="B14" s="428" t="s">
        <v>483</v>
      </c>
      <c r="C14" s="430" t="s">
        <v>482</v>
      </c>
      <c r="D14" s="428">
        <v>31</v>
      </c>
      <c r="E14" s="445">
        <v>113575</v>
      </c>
      <c r="F14" s="446">
        <v>100000</v>
      </c>
      <c r="G14" s="428">
        <v>2020</v>
      </c>
      <c r="H14" s="428">
        <v>2020</v>
      </c>
    </row>
    <row r="15" spans="1:8" ht="23.25" customHeight="1" x14ac:dyDescent="0.3">
      <c r="A15" s="423">
        <v>2011</v>
      </c>
      <c r="B15" s="423" t="s">
        <v>486</v>
      </c>
      <c r="C15" s="425" t="s">
        <v>70</v>
      </c>
      <c r="D15" s="423"/>
      <c r="E15" s="443">
        <v>1781</v>
      </c>
      <c r="F15" s="444">
        <v>250000</v>
      </c>
      <c r="G15" s="423">
        <v>2023</v>
      </c>
      <c r="H15" s="423">
        <v>2025</v>
      </c>
    </row>
    <row r="16" spans="1:8" ht="21.75" customHeight="1" x14ac:dyDescent="0.3">
      <c r="A16" s="428">
        <v>2014</v>
      </c>
      <c r="B16" s="428" t="s">
        <v>487</v>
      </c>
      <c r="C16" s="430" t="s">
        <v>488</v>
      </c>
      <c r="D16" s="428"/>
      <c r="E16" s="428" t="s">
        <v>489</v>
      </c>
      <c r="F16" s="446">
        <v>200000</v>
      </c>
      <c r="G16" s="428">
        <v>2024</v>
      </c>
      <c r="H16" s="428">
        <v>2024</v>
      </c>
    </row>
    <row r="17" spans="1:8" ht="25.5" customHeight="1" x14ac:dyDescent="0.3">
      <c r="A17" s="423">
        <v>1995</v>
      </c>
      <c r="B17" s="423" t="s">
        <v>490</v>
      </c>
      <c r="C17" s="425" t="s">
        <v>491</v>
      </c>
      <c r="D17" s="423"/>
      <c r="E17" s="423" t="s">
        <v>492</v>
      </c>
      <c r="F17" s="444">
        <v>300000</v>
      </c>
      <c r="G17" s="423">
        <v>2020</v>
      </c>
      <c r="H17" s="423">
        <v>2023</v>
      </c>
    </row>
    <row r="18" spans="1:8" ht="22.95" customHeight="1" x14ac:dyDescent="0.3">
      <c r="A18" s="428">
        <v>1989</v>
      </c>
      <c r="B18" s="428" t="s">
        <v>493</v>
      </c>
      <c r="C18" s="430" t="s">
        <v>494</v>
      </c>
      <c r="D18" s="428"/>
      <c r="E18" s="445">
        <v>2082</v>
      </c>
      <c r="F18" s="446">
        <v>100000</v>
      </c>
      <c r="G18" s="428">
        <v>2023</v>
      </c>
      <c r="H18" s="428">
        <v>2023</v>
      </c>
    </row>
    <row r="19" spans="1:8" ht="25.2" customHeight="1" x14ac:dyDescent="0.3">
      <c r="A19" s="423">
        <v>1995</v>
      </c>
      <c r="B19" s="423" t="s">
        <v>495</v>
      </c>
      <c r="C19" s="425" t="s">
        <v>494</v>
      </c>
      <c r="D19" s="423"/>
      <c r="E19" s="443">
        <v>3126</v>
      </c>
      <c r="F19" s="444">
        <v>100000</v>
      </c>
      <c r="G19" s="423" t="s">
        <v>437</v>
      </c>
      <c r="H19" s="423">
        <v>2026</v>
      </c>
    </row>
    <row r="20" spans="1:8" ht="25.2" customHeight="1" x14ac:dyDescent="0.3">
      <c r="A20" s="428">
        <v>1993</v>
      </c>
      <c r="B20" s="428" t="s">
        <v>496</v>
      </c>
      <c r="C20" s="430" t="s">
        <v>284</v>
      </c>
      <c r="D20" s="428"/>
      <c r="E20" s="428" t="s">
        <v>497</v>
      </c>
      <c r="F20" s="446">
        <v>70000</v>
      </c>
      <c r="G20" s="428">
        <v>2020</v>
      </c>
      <c r="H20" s="428">
        <v>2022</v>
      </c>
    </row>
    <row r="21" spans="1:8" ht="25.2" customHeight="1" x14ac:dyDescent="0.3">
      <c r="A21" s="423" t="s">
        <v>1</v>
      </c>
      <c r="B21" s="423"/>
      <c r="C21" s="425"/>
      <c r="D21" s="423"/>
      <c r="E21" s="423"/>
      <c r="F21" s="444">
        <f>SUM(F5:F20)</f>
        <v>2280000</v>
      </c>
      <c r="G21" s="423"/>
      <c r="H21" s="423"/>
    </row>
    <row r="22" spans="1:8" x14ac:dyDescent="0.3">
      <c r="A22" s="438"/>
      <c r="B22" s="627" t="s">
        <v>498</v>
      </c>
      <c r="C22" s="627"/>
      <c r="D22" s="627"/>
      <c r="E22" s="627"/>
      <c r="F22" s="627"/>
      <c r="G22" s="627"/>
      <c r="H22" s="627"/>
    </row>
    <row r="23" spans="1:8" ht="27.75" customHeight="1" x14ac:dyDescent="0.3">
      <c r="A23" s="438"/>
      <c r="B23" s="628"/>
      <c r="C23" s="628"/>
      <c r="D23" s="628"/>
      <c r="E23" s="628"/>
      <c r="F23" s="628"/>
      <c r="G23" s="628"/>
      <c r="H23" s="628"/>
    </row>
    <row r="24" spans="1:8" x14ac:dyDescent="0.3">
      <c r="A24" s="438"/>
      <c r="B24" s="439"/>
      <c r="C24" s="439"/>
      <c r="D24" s="439"/>
      <c r="E24" s="439"/>
      <c r="F24" s="439"/>
      <c r="G24" s="439"/>
      <c r="H24" s="439"/>
    </row>
    <row r="25" spans="1:8" x14ac:dyDescent="0.3">
      <c r="A25" s="438"/>
      <c r="B25" s="439"/>
      <c r="C25" s="439"/>
      <c r="D25" s="439"/>
      <c r="E25" s="439"/>
      <c r="F25" s="439"/>
      <c r="G25" s="439"/>
      <c r="H25" s="439"/>
    </row>
    <row r="26" spans="1:8" x14ac:dyDescent="0.3">
      <c r="A26" s="438"/>
      <c r="B26" s="439"/>
      <c r="C26" s="439"/>
      <c r="D26" s="439"/>
      <c r="E26" s="439"/>
      <c r="F26" s="439"/>
      <c r="G26" s="439"/>
      <c r="H26" s="439"/>
    </row>
    <row r="27" spans="1:8" x14ac:dyDescent="0.3">
      <c r="A27" s="438"/>
      <c r="B27" s="439"/>
      <c r="C27" s="439"/>
      <c r="D27" s="439"/>
      <c r="E27" s="439"/>
      <c r="F27" s="439"/>
      <c r="G27" s="439"/>
      <c r="H27" s="439"/>
    </row>
    <row r="28" spans="1:8" x14ac:dyDescent="0.3">
      <c r="A28" s="440"/>
    </row>
  </sheetData>
  <mergeCells count="1">
    <mergeCell ref="B22:H23"/>
  </mergeCells>
  <pageMargins left="0.7" right="0.7" top="0.75" bottom="0.75" header="0.3" footer="0.3"/>
  <pageSetup scale="9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view="pageBreakPreview" topLeftCell="A13" zoomScaleNormal="100" zoomScaleSheetLayoutView="100" workbookViewId="0">
      <selection activeCell="C18" sqref="C18"/>
    </sheetView>
  </sheetViews>
  <sheetFormatPr defaultColWidth="9" defaultRowHeight="13.8" x14ac:dyDescent="0.3"/>
  <cols>
    <col min="1" max="1" width="25" customWidth="1"/>
    <col min="2" max="2" width="22.109375" customWidth="1"/>
    <col min="3" max="3" width="11" bestFit="1" customWidth="1"/>
    <col min="9" max="9" width="19.88671875" customWidth="1"/>
    <col min="10" max="10" width="12.44140625" customWidth="1"/>
  </cols>
  <sheetData>
    <row r="1" spans="1:10" ht="20.25" customHeight="1" x14ac:dyDescent="0.3">
      <c r="A1" s="252" t="s">
        <v>716</v>
      </c>
      <c r="I1" s="247"/>
      <c r="J1" s="248"/>
    </row>
    <row r="2" spans="1:10" x14ac:dyDescent="0.3">
      <c r="A2" s="252" t="s">
        <v>267</v>
      </c>
    </row>
    <row r="3" spans="1:10" x14ac:dyDescent="0.3">
      <c r="A3" s="252" t="s">
        <v>268</v>
      </c>
    </row>
    <row r="4" spans="1:10" s="24" customFormat="1" x14ac:dyDescent="0.3">
      <c r="A4" s="264" t="s">
        <v>269</v>
      </c>
      <c r="I4" s="623" t="s">
        <v>412</v>
      </c>
      <c r="J4" s="624"/>
    </row>
    <row r="5" spans="1:10" s="24" customFormat="1" x14ac:dyDescent="0.3">
      <c r="A5" s="21" t="s">
        <v>3</v>
      </c>
      <c r="B5" s="21" t="s">
        <v>8</v>
      </c>
      <c r="C5" s="22">
        <v>2021</v>
      </c>
      <c r="D5" s="22">
        <f>C5+1</f>
        <v>2022</v>
      </c>
      <c r="E5" s="22">
        <f>D5+1</f>
        <v>2023</v>
      </c>
      <c r="F5" s="22">
        <f>E5+1</f>
        <v>2024</v>
      </c>
      <c r="G5" s="22">
        <f>F5+1</f>
        <v>2025</v>
      </c>
      <c r="H5" s="22">
        <f>G5+1</f>
        <v>2026</v>
      </c>
      <c r="I5" s="21" t="s">
        <v>3</v>
      </c>
      <c r="J5" s="21" t="s">
        <v>2</v>
      </c>
    </row>
    <row r="6" spans="1:10" s="13" customFormat="1" ht="18" x14ac:dyDescent="0.35">
      <c r="A6" s="112" t="s">
        <v>7</v>
      </c>
      <c r="B6" s="131"/>
      <c r="C6" s="132">
        <v>5000</v>
      </c>
      <c r="D6" s="191"/>
      <c r="E6" s="130"/>
      <c r="F6" s="130">
        <v>35000</v>
      </c>
      <c r="G6" s="130"/>
      <c r="H6" s="130"/>
      <c r="I6" s="31"/>
      <c r="J6" s="31"/>
    </row>
    <row r="7" spans="1:10" s="13" customFormat="1" ht="32.25" customHeight="1" x14ac:dyDescent="0.35">
      <c r="A7" s="273" t="s">
        <v>283</v>
      </c>
      <c r="B7" s="131"/>
      <c r="C7" s="130">
        <v>5000</v>
      </c>
      <c r="D7" s="300">
        <v>5000</v>
      </c>
      <c r="E7" s="130"/>
      <c r="F7" s="130"/>
      <c r="G7" s="130"/>
      <c r="H7" s="130"/>
      <c r="I7" s="629" t="s">
        <v>661</v>
      </c>
      <c r="J7" s="31"/>
    </row>
    <row r="8" spans="1:10" s="13" customFormat="1" ht="18" x14ac:dyDescent="0.35">
      <c r="A8" s="112" t="s">
        <v>159</v>
      </c>
      <c r="B8" s="112" t="s">
        <v>147</v>
      </c>
      <c r="C8" s="236"/>
      <c r="D8" s="236"/>
      <c r="E8" s="18">
        <v>10000</v>
      </c>
      <c r="F8" s="18">
        <v>500000</v>
      </c>
      <c r="G8" s="236"/>
      <c r="H8" s="18"/>
      <c r="I8" s="630"/>
      <c r="J8" s="31"/>
    </row>
    <row r="9" spans="1:10" s="13" customFormat="1" ht="18" x14ac:dyDescent="0.35">
      <c r="A9" s="112"/>
      <c r="B9" s="112"/>
      <c r="C9" s="323"/>
      <c r="D9" s="323"/>
      <c r="E9" s="18"/>
      <c r="F9" s="18"/>
      <c r="G9" s="323"/>
      <c r="H9" s="18"/>
      <c r="I9" s="31"/>
      <c r="J9" s="31"/>
    </row>
    <row r="10" spans="1:10" s="13" customFormat="1" ht="18" x14ac:dyDescent="0.35">
      <c r="A10" s="112"/>
      <c r="B10" s="112"/>
      <c r="C10" s="18"/>
      <c r="D10" s="298"/>
      <c r="E10" s="18"/>
      <c r="F10" s="18"/>
      <c r="G10" s="18"/>
      <c r="H10" s="18"/>
      <c r="I10" s="31"/>
      <c r="J10" s="31"/>
    </row>
    <row r="11" spans="1:10" s="13" customFormat="1" ht="18" x14ac:dyDescent="0.35">
      <c r="A11" s="112"/>
      <c r="B11" s="112"/>
      <c r="C11" s="18"/>
      <c r="D11" s="298"/>
      <c r="E11" s="18"/>
      <c r="F11" s="18"/>
      <c r="G11" s="18"/>
      <c r="H11" s="18"/>
      <c r="I11" s="340" t="s">
        <v>9</v>
      </c>
      <c r="J11" s="31"/>
    </row>
    <row r="12" spans="1:10" ht="28.5" customHeight="1" thickBot="1" x14ac:dyDescent="0.35">
      <c r="A12" s="12"/>
      <c r="B12" s="11" t="s">
        <v>0</v>
      </c>
      <c r="C12" s="1">
        <f t="shared" ref="C12:H12" si="0">SUM(C6:C11)</f>
        <v>10000</v>
      </c>
      <c r="D12" s="192">
        <f t="shared" si="0"/>
        <v>5000</v>
      </c>
      <c r="E12" s="1">
        <f t="shared" si="0"/>
        <v>10000</v>
      </c>
      <c r="F12" s="1">
        <f t="shared" si="0"/>
        <v>535000</v>
      </c>
      <c r="G12" s="1">
        <f t="shared" si="0"/>
        <v>0</v>
      </c>
      <c r="H12" s="1">
        <f t="shared" si="0"/>
        <v>0</v>
      </c>
      <c r="I12" s="192">
        <f>SUM(C12:H12)</f>
        <v>560000</v>
      </c>
      <c r="J12" s="30"/>
    </row>
    <row r="13" spans="1:10" ht="14.4" thickTop="1" x14ac:dyDescent="0.3"/>
    <row r="14" spans="1:10" s="102" customFormat="1" x14ac:dyDescent="0.3">
      <c r="B14" s="319" t="s">
        <v>411</v>
      </c>
      <c r="C14" s="17">
        <v>0</v>
      </c>
    </row>
    <row r="15" spans="1:10" s="102" customFormat="1" x14ac:dyDescent="0.3">
      <c r="C15" s="6"/>
    </row>
    <row r="16" spans="1:10" x14ac:dyDescent="0.3">
      <c r="B16" s="109" t="s">
        <v>660</v>
      </c>
      <c r="C16" s="4">
        <v>98000</v>
      </c>
      <c r="D16" s="4">
        <f>C21</f>
        <v>85000</v>
      </c>
      <c r="E16" s="4">
        <f t="shared" ref="E16:H16" si="1">D21</f>
        <v>77000</v>
      </c>
      <c r="F16" s="4">
        <f t="shared" si="1"/>
        <v>64000</v>
      </c>
      <c r="G16" s="4">
        <f t="shared" si="1"/>
        <v>26000</v>
      </c>
      <c r="H16" s="4">
        <f t="shared" si="1"/>
        <v>23000</v>
      </c>
    </row>
    <row r="17" spans="2:8" s="319" customFormat="1" x14ac:dyDescent="0.3">
      <c r="B17" s="65" t="s">
        <v>743</v>
      </c>
      <c r="C17" s="324">
        <v>-3000</v>
      </c>
      <c r="D17" s="324">
        <f>C17</f>
        <v>-3000</v>
      </c>
      <c r="E17" s="324">
        <f t="shared" ref="E17:H17" si="2">D17</f>
        <v>-3000</v>
      </c>
      <c r="F17" s="324">
        <f t="shared" si="2"/>
        <v>-3000</v>
      </c>
      <c r="G17" s="324">
        <f t="shared" si="2"/>
        <v>-3000</v>
      </c>
      <c r="H17" s="324">
        <f t="shared" si="2"/>
        <v>-3000</v>
      </c>
    </row>
    <row r="18" spans="2:8" s="102" customFormat="1" x14ac:dyDescent="0.3">
      <c r="B18" s="65" t="s">
        <v>281</v>
      </c>
      <c r="C18" s="4">
        <v>0</v>
      </c>
      <c r="D18" s="4">
        <f>C18</f>
        <v>0</v>
      </c>
      <c r="E18" s="4">
        <v>0</v>
      </c>
      <c r="F18" s="4">
        <f t="shared" ref="F18:H18" si="3">E18</f>
        <v>0</v>
      </c>
      <c r="G18" s="4">
        <f t="shared" si="3"/>
        <v>0</v>
      </c>
      <c r="H18" s="4">
        <f t="shared" si="3"/>
        <v>0</v>
      </c>
    </row>
    <row r="19" spans="2:8" x14ac:dyDescent="0.3">
      <c r="B19" s="65" t="s">
        <v>48</v>
      </c>
      <c r="C19" s="123">
        <v>0</v>
      </c>
      <c r="D19" s="123">
        <v>0</v>
      </c>
      <c r="E19" s="4">
        <v>0</v>
      </c>
      <c r="F19" s="4">
        <v>500000</v>
      </c>
      <c r="G19" s="324">
        <v>0</v>
      </c>
      <c r="H19" s="4">
        <v>0</v>
      </c>
    </row>
    <row r="20" spans="2:8" ht="15.6" x14ac:dyDescent="0.45">
      <c r="B20" s="65" t="s">
        <v>36</v>
      </c>
      <c r="C20" s="56">
        <f>-C12</f>
        <v>-10000</v>
      </c>
      <c r="D20" s="56">
        <f t="shared" ref="D20:H20" si="4">-D12</f>
        <v>-5000</v>
      </c>
      <c r="E20" s="56">
        <f t="shared" si="4"/>
        <v>-10000</v>
      </c>
      <c r="F20" s="56">
        <f t="shared" si="4"/>
        <v>-535000</v>
      </c>
      <c r="G20" s="56">
        <f t="shared" si="4"/>
        <v>0</v>
      </c>
      <c r="H20" s="56">
        <f t="shared" si="4"/>
        <v>0</v>
      </c>
    </row>
    <row r="21" spans="2:8" ht="15.6" x14ac:dyDescent="0.45">
      <c r="B21" s="79" t="s">
        <v>37</v>
      </c>
      <c r="C21" s="63">
        <f t="shared" ref="C21:H21" si="5">SUM(C16:C20)</f>
        <v>85000</v>
      </c>
      <c r="D21" s="63">
        <f t="shared" si="5"/>
        <v>77000</v>
      </c>
      <c r="E21" s="63">
        <f t="shared" si="5"/>
        <v>64000</v>
      </c>
      <c r="F21" s="63">
        <f t="shared" si="5"/>
        <v>26000</v>
      </c>
      <c r="G21" s="63">
        <f t="shared" si="5"/>
        <v>23000</v>
      </c>
      <c r="H21" s="63">
        <f t="shared" si="5"/>
        <v>20000</v>
      </c>
    </row>
    <row r="26" spans="2:8" x14ac:dyDescent="0.3">
      <c r="E26" s="114" t="s">
        <v>121</v>
      </c>
      <c r="F26" s="115">
        <f>F19</f>
        <v>500000</v>
      </c>
    </row>
    <row r="27" spans="2:8" x14ac:dyDescent="0.3">
      <c r="E27" s="116" t="s">
        <v>59</v>
      </c>
      <c r="F27" s="117">
        <v>0.05</v>
      </c>
    </row>
    <row r="28" spans="2:8" x14ac:dyDescent="0.3">
      <c r="E28" s="116" t="s">
        <v>122</v>
      </c>
      <c r="F28" s="118">
        <v>20</v>
      </c>
    </row>
    <row r="29" spans="2:8" x14ac:dyDescent="0.3">
      <c r="E29" s="119" t="s">
        <v>123</v>
      </c>
      <c r="F29" s="34">
        <f>-PMT(F27,F28,F26)</f>
        <v>40121.293595345662</v>
      </c>
    </row>
  </sheetData>
  <mergeCells count="2">
    <mergeCell ref="I4:J4"/>
    <mergeCell ref="I7:I8"/>
  </mergeCells>
  <pageMargins left="0.7" right="0.7" top="0.75" bottom="0.75" header="0.3" footer="0.3"/>
  <pageSetup orientation="landscape" r:id="rId1"/>
  <headerFooter>
    <oddHeader>&amp;C&amp;"-,Bold"&amp;12CIP DEPARTMENT INFORMATION REQUEST FORM
DEPARTMENT: DPW FACILITIES</oddHeader>
    <oddFooter>&amp;L&amp;A&amp;RPage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view="pageBreakPreview" zoomScale="86" zoomScaleNormal="100" zoomScaleSheetLayoutView="86" workbookViewId="0">
      <selection activeCell="J12" sqref="J12:J13"/>
    </sheetView>
  </sheetViews>
  <sheetFormatPr defaultColWidth="9" defaultRowHeight="13.8" x14ac:dyDescent="0.3"/>
  <cols>
    <col min="1" max="1" width="25.44140625" style="103" customWidth="1"/>
    <col min="2" max="2" width="32.33203125" customWidth="1"/>
    <col min="3" max="3" width="11" customWidth="1"/>
    <col min="4" max="4" width="11.5546875" customWidth="1"/>
    <col min="5" max="5" width="10.6640625" customWidth="1"/>
    <col min="6" max="8" width="10.5546875" bestFit="1" customWidth="1"/>
    <col min="9" max="9" width="14.33203125" customWidth="1"/>
    <col min="10" max="10" width="12.33203125" customWidth="1"/>
  </cols>
  <sheetData>
    <row r="1" spans="1:14" ht="20.25" customHeight="1" x14ac:dyDescent="0.3">
      <c r="A1" s="252" t="s">
        <v>716</v>
      </c>
      <c r="I1" s="247"/>
      <c r="J1" s="248"/>
    </row>
    <row r="2" spans="1:14" x14ac:dyDescent="0.3">
      <c r="A2" s="252" t="s">
        <v>267</v>
      </c>
    </row>
    <row r="3" spans="1:14" x14ac:dyDescent="0.3">
      <c r="A3" s="252" t="s">
        <v>268</v>
      </c>
    </row>
    <row r="4" spans="1:14" s="24" customFormat="1" x14ac:dyDescent="0.3">
      <c r="A4" s="264" t="s">
        <v>269</v>
      </c>
      <c r="I4" s="623" t="s">
        <v>412</v>
      </c>
      <c r="J4" s="624"/>
    </row>
    <row r="5" spans="1:14" s="24" customFormat="1" x14ac:dyDescent="0.3">
      <c r="A5" s="21" t="s">
        <v>3</v>
      </c>
      <c r="B5" s="21" t="s">
        <v>8</v>
      </c>
      <c r="C5" s="22">
        <v>2021</v>
      </c>
      <c r="D5" s="22">
        <f>C5+1</f>
        <v>2022</v>
      </c>
      <c r="E5" s="22">
        <f>D5+1</f>
        <v>2023</v>
      </c>
      <c r="F5" s="22">
        <f>E5+1</f>
        <v>2024</v>
      </c>
      <c r="G5" s="22">
        <f>F5+1</f>
        <v>2025</v>
      </c>
      <c r="H5" s="22">
        <f>G5+1</f>
        <v>2026</v>
      </c>
      <c r="I5" s="21" t="s">
        <v>3</v>
      </c>
      <c r="J5" s="21" t="s">
        <v>2</v>
      </c>
    </row>
    <row r="6" spans="1:14" s="89" customFormat="1" ht="31.5" customHeight="1" x14ac:dyDescent="0.3">
      <c r="A6" s="356" t="s">
        <v>235</v>
      </c>
      <c r="B6" s="577" t="s">
        <v>325</v>
      </c>
      <c r="C6" s="363">
        <v>610000</v>
      </c>
      <c r="D6" s="300"/>
      <c r="E6" s="234"/>
      <c r="F6" s="234"/>
      <c r="G6" s="234"/>
      <c r="H6" s="200"/>
      <c r="I6" s="60"/>
      <c r="J6" s="298"/>
    </row>
    <row r="7" spans="1:14" s="89" customFormat="1" ht="18" x14ac:dyDescent="0.3">
      <c r="A7" s="356" t="s">
        <v>294</v>
      </c>
      <c r="B7" s="577" t="s">
        <v>324</v>
      </c>
      <c r="C7" s="364">
        <v>270000</v>
      </c>
      <c r="D7" s="300"/>
      <c r="E7" s="234"/>
      <c r="F7" s="234"/>
      <c r="G7" s="234"/>
      <c r="H7" s="200"/>
      <c r="I7" s="60"/>
      <c r="J7" s="298"/>
    </row>
    <row r="8" spans="1:14" s="89" customFormat="1" ht="18" x14ac:dyDescent="0.3">
      <c r="A8" s="356" t="s">
        <v>295</v>
      </c>
      <c r="B8" s="577" t="s">
        <v>324</v>
      </c>
      <c r="C8" s="364">
        <v>70000</v>
      </c>
      <c r="D8" s="300"/>
      <c r="E8" s="234"/>
      <c r="F8" s="234"/>
      <c r="G8" s="234"/>
      <c r="H8" s="200"/>
      <c r="I8" s="60"/>
      <c r="J8" s="298"/>
    </row>
    <row r="9" spans="1:14" s="178" customFormat="1" ht="18" x14ac:dyDescent="0.35">
      <c r="A9" s="454" t="s">
        <v>161</v>
      </c>
      <c r="B9" s="233" t="s">
        <v>72</v>
      </c>
      <c r="C9" s="300">
        <v>400000</v>
      </c>
      <c r="D9" s="300">
        <v>100000</v>
      </c>
      <c r="E9" s="234"/>
      <c r="F9" s="234"/>
      <c r="G9" s="234"/>
      <c r="H9" s="236"/>
      <c r="I9" s="60"/>
      <c r="J9" s="188"/>
    </row>
    <row r="10" spans="1:14" s="178" customFormat="1" ht="27.6" x14ac:dyDescent="0.35">
      <c r="A10" s="579" t="s">
        <v>243</v>
      </c>
      <c r="B10" s="233" t="s">
        <v>242</v>
      </c>
      <c r="C10" s="233"/>
      <c r="D10" s="236"/>
      <c r="E10" s="234">
        <v>375000</v>
      </c>
      <c r="F10" s="234">
        <v>375000</v>
      </c>
      <c r="G10" s="234"/>
      <c r="H10" s="234"/>
      <c r="I10" s="233"/>
      <c r="J10" s="233"/>
    </row>
    <row r="11" spans="1:14" s="322" customFormat="1" ht="18" x14ac:dyDescent="0.35">
      <c r="A11" s="273" t="s">
        <v>163</v>
      </c>
      <c r="B11" s="96" t="s">
        <v>72</v>
      </c>
      <c r="C11" s="186"/>
      <c r="D11" s="236"/>
      <c r="E11" s="299"/>
      <c r="F11" s="234"/>
      <c r="G11" s="234">
        <v>250000</v>
      </c>
      <c r="H11" s="234">
        <v>250000</v>
      </c>
      <c r="I11" s="453"/>
      <c r="J11" s="298"/>
    </row>
    <row r="12" spans="1:14" s="178" customFormat="1" ht="18" x14ac:dyDescent="0.35">
      <c r="A12" s="273" t="s">
        <v>162</v>
      </c>
      <c r="B12" s="96" t="s">
        <v>72</v>
      </c>
      <c r="C12" s="233"/>
      <c r="D12" s="233"/>
      <c r="E12" s="234"/>
      <c r="F12" s="234"/>
      <c r="G12" s="234"/>
      <c r="H12" s="236"/>
      <c r="I12" s="453">
        <v>2027</v>
      </c>
      <c r="J12" s="298">
        <v>250000</v>
      </c>
      <c r="N12" s="396"/>
    </row>
    <row r="13" spans="1:14" s="178" customFormat="1" ht="18" x14ac:dyDescent="0.35">
      <c r="A13" s="273" t="s">
        <v>237</v>
      </c>
      <c r="B13" s="96" t="s">
        <v>72</v>
      </c>
      <c r="C13" s="186"/>
      <c r="D13" s="187"/>
      <c r="E13" s="234"/>
      <c r="F13" s="234"/>
      <c r="G13" s="234"/>
      <c r="H13" s="299"/>
      <c r="I13" s="121">
        <v>2027</v>
      </c>
      <c r="J13" s="299">
        <v>75000</v>
      </c>
    </row>
    <row r="14" spans="1:14" s="322" customFormat="1" ht="18" x14ac:dyDescent="0.35">
      <c r="A14" s="273" t="s">
        <v>164</v>
      </c>
      <c r="B14" s="96" t="s">
        <v>72</v>
      </c>
      <c r="C14" s="299"/>
      <c r="D14" s="299"/>
      <c r="E14" s="234"/>
      <c r="F14" s="234"/>
      <c r="G14" s="234"/>
      <c r="H14" s="299">
        <v>500000</v>
      </c>
      <c r="I14" s="374"/>
      <c r="J14" s="149"/>
    </row>
    <row r="15" spans="1:14" s="106" customFormat="1" ht="27.75" customHeight="1" x14ac:dyDescent="0.35">
      <c r="A15" s="273" t="s">
        <v>296</v>
      </c>
      <c r="B15" s="96" t="s">
        <v>72</v>
      </c>
      <c r="C15" s="267"/>
      <c r="D15" s="267"/>
      <c r="E15" s="234"/>
      <c r="F15" s="234"/>
      <c r="G15" s="234"/>
      <c r="H15" s="62"/>
      <c r="I15" s="233"/>
      <c r="J15" s="374" t="s">
        <v>413</v>
      </c>
    </row>
    <row r="16" spans="1:14" s="322" customFormat="1" ht="18" x14ac:dyDescent="0.35">
      <c r="A16" s="337" t="s">
        <v>346</v>
      </c>
      <c r="B16" s="96" t="s">
        <v>347</v>
      </c>
      <c r="C16" s="323"/>
      <c r="D16" s="323"/>
      <c r="E16" s="234"/>
      <c r="F16" s="234"/>
      <c r="G16" s="234"/>
      <c r="H16" s="62"/>
      <c r="J16" s="374" t="s">
        <v>413</v>
      </c>
    </row>
    <row r="17" spans="1:10" s="13" customFormat="1" ht="18" x14ac:dyDescent="0.35">
      <c r="A17" s="236"/>
      <c r="B17" s="578"/>
      <c r="C17" s="236"/>
      <c r="D17" s="236"/>
      <c r="E17" s="234"/>
      <c r="F17" s="234"/>
      <c r="G17" s="234"/>
      <c r="H17" s="236"/>
      <c r="I17" s="121" t="s">
        <v>9</v>
      </c>
    </row>
    <row r="18" spans="1:10" ht="28.5" customHeight="1" thickBot="1" x14ac:dyDescent="0.35">
      <c r="A18" s="273" t="s">
        <v>236</v>
      </c>
      <c r="B18" s="11" t="s">
        <v>0</v>
      </c>
      <c r="C18" s="209">
        <f t="shared" ref="C18:H18" si="0">SUM(C6:C16)</f>
        <v>1350000</v>
      </c>
      <c r="D18" s="209">
        <f t="shared" si="0"/>
        <v>100000</v>
      </c>
      <c r="E18" s="209">
        <f t="shared" si="0"/>
        <v>375000</v>
      </c>
      <c r="F18" s="209">
        <f t="shared" si="0"/>
        <v>375000</v>
      </c>
      <c r="G18" s="209">
        <f t="shared" si="0"/>
        <v>250000</v>
      </c>
      <c r="H18" s="209">
        <f t="shared" si="0"/>
        <v>750000</v>
      </c>
      <c r="I18" s="357">
        <f>SUM(C18:H18)</f>
        <v>3200000</v>
      </c>
      <c r="J18" s="192">
        <f>SUM(J6:J16)</f>
        <v>325000</v>
      </c>
    </row>
    <row r="19" spans="1:10" ht="14.4" thickTop="1" x14ac:dyDescent="0.3">
      <c r="I19" s="6">
        <v>6</v>
      </c>
      <c r="J19" t="s">
        <v>58</v>
      </c>
    </row>
    <row r="20" spans="1:10" x14ac:dyDescent="0.3">
      <c r="B20" s="102" t="s">
        <v>411</v>
      </c>
      <c r="C20" s="17">
        <v>150000</v>
      </c>
      <c r="I20" s="353">
        <f>I18/I19</f>
        <v>533333.33333333337</v>
      </c>
      <c r="J20" t="s">
        <v>353</v>
      </c>
    </row>
    <row r="21" spans="1:10" x14ac:dyDescent="0.3">
      <c r="I21" s="319"/>
      <c r="J21" s="319"/>
    </row>
    <row r="22" spans="1:10" x14ac:dyDescent="0.3">
      <c r="B22" s="109" t="s">
        <v>660</v>
      </c>
      <c r="C22" s="4">
        <v>298000</v>
      </c>
      <c r="D22" s="4">
        <f>C30</f>
        <v>14000</v>
      </c>
      <c r="E22" s="4">
        <f>D30</f>
        <v>164000</v>
      </c>
      <c r="F22" s="4">
        <f>E30</f>
        <v>164000</v>
      </c>
      <c r="G22" s="4">
        <f>F30</f>
        <v>104000</v>
      </c>
      <c r="H22" s="4">
        <f>G30</f>
        <v>154000</v>
      </c>
      <c r="I22" s="319"/>
      <c r="J22" s="46">
        <f>H30</f>
        <v>29000</v>
      </c>
    </row>
    <row r="23" spans="1:10" s="319" customFormat="1" x14ac:dyDescent="0.3">
      <c r="A23" s="103"/>
      <c r="B23" s="65" t="s">
        <v>743</v>
      </c>
      <c r="C23" s="324">
        <v>-10000</v>
      </c>
      <c r="D23" s="324">
        <v>0</v>
      </c>
      <c r="E23" s="324">
        <v>0</v>
      </c>
      <c r="F23" s="324">
        <v>0</v>
      </c>
      <c r="G23" s="324">
        <v>0</v>
      </c>
      <c r="H23" s="324">
        <v>0</v>
      </c>
      <c r="J23" s="46">
        <v>0</v>
      </c>
    </row>
    <row r="24" spans="1:10" s="102" customFormat="1" x14ac:dyDescent="0.3">
      <c r="A24" s="103"/>
      <c r="B24" s="65" t="s">
        <v>281</v>
      </c>
      <c r="C24" s="324">
        <v>200000</v>
      </c>
      <c r="D24" s="324">
        <v>250000</v>
      </c>
      <c r="E24" s="324">
        <v>300000</v>
      </c>
      <c r="F24" s="324">
        <v>300000</v>
      </c>
      <c r="G24" s="324">
        <f>F24</f>
        <v>300000</v>
      </c>
      <c r="H24" s="324">
        <f>G24</f>
        <v>300000</v>
      </c>
      <c r="J24" s="46">
        <f>H24*1</f>
        <v>300000</v>
      </c>
    </row>
    <row r="25" spans="1:10" s="109" customFormat="1" ht="12.75" customHeight="1" x14ac:dyDescent="0.3">
      <c r="A25" s="366"/>
      <c r="B25" s="215" t="s">
        <v>350</v>
      </c>
      <c r="C25" s="70">
        <v>165000</v>
      </c>
      <c r="D25" s="70">
        <v>0</v>
      </c>
      <c r="E25" s="70">
        <v>0</v>
      </c>
      <c r="F25" s="70">
        <v>0</v>
      </c>
      <c r="G25" s="70">
        <v>0</v>
      </c>
      <c r="H25" s="70">
        <v>75000</v>
      </c>
      <c r="J25" s="70">
        <v>100000</v>
      </c>
    </row>
    <row r="26" spans="1:10" s="277" customFormat="1" x14ac:dyDescent="0.3">
      <c r="A26" s="103"/>
      <c r="B26" s="354" t="s">
        <v>375</v>
      </c>
      <c r="C26" s="355">
        <v>475000</v>
      </c>
      <c r="D26" s="287">
        <v>0</v>
      </c>
      <c r="E26" s="287">
        <v>0</v>
      </c>
      <c r="F26" s="287">
        <v>0</v>
      </c>
      <c r="G26" s="287">
        <v>0</v>
      </c>
      <c r="H26" s="287">
        <v>0</v>
      </c>
      <c r="I26" s="319"/>
      <c r="J26" s="324">
        <v>0</v>
      </c>
    </row>
    <row r="27" spans="1:10" s="319" customFormat="1" x14ac:dyDescent="0.3">
      <c r="A27" s="103"/>
      <c r="B27" s="354" t="s">
        <v>376</v>
      </c>
      <c r="C27" s="355">
        <v>36000</v>
      </c>
      <c r="D27" s="324">
        <v>0</v>
      </c>
      <c r="E27" s="324">
        <v>0</v>
      </c>
      <c r="F27" s="324">
        <v>0</v>
      </c>
      <c r="G27" s="324">
        <v>0</v>
      </c>
      <c r="H27" s="324">
        <v>0</v>
      </c>
      <c r="J27" s="324">
        <v>0</v>
      </c>
    </row>
    <row r="28" spans="1:10" x14ac:dyDescent="0.3">
      <c r="B28" s="215" t="s">
        <v>111</v>
      </c>
      <c r="C28" s="4">
        <v>200000</v>
      </c>
      <c r="D28" s="324">
        <v>0</v>
      </c>
      <c r="E28" s="324">
        <v>75000</v>
      </c>
      <c r="F28" s="324">
        <v>15000</v>
      </c>
      <c r="G28" s="324">
        <v>0</v>
      </c>
      <c r="H28" s="70">
        <v>250000</v>
      </c>
      <c r="I28" s="319"/>
      <c r="J28" s="70">
        <v>0</v>
      </c>
    </row>
    <row r="29" spans="1:10" ht="15.6" x14ac:dyDescent="0.45">
      <c r="B29" s="65" t="s">
        <v>36</v>
      </c>
      <c r="C29" s="56">
        <f t="shared" ref="C29:H29" si="1">-C18</f>
        <v>-1350000</v>
      </c>
      <c r="D29" s="56">
        <f t="shared" si="1"/>
        <v>-100000</v>
      </c>
      <c r="E29" s="56">
        <f t="shared" si="1"/>
        <v>-375000</v>
      </c>
      <c r="F29" s="325">
        <f t="shared" si="1"/>
        <v>-375000</v>
      </c>
      <c r="G29" s="56">
        <f t="shared" si="1"/>
        <v>-250000</v>
      </c>
      <c r="H29" s="56">
        <f t="shared" si="1"/>
        <v>-750000</v>
      </c>
      <c r="I29" s="319"/>
      <c r="J29" s="325">
        <f>-J18</f>
        <v>-325000</v>
      </c>
    </row>
    <row r="30" spans="1:10" ht="15.6" x14ac:dyDescent="0.45">
      <c r="B30" s="79" t="s">
        <v>37</v>
      </c>
      <c r="C30" s="63">
        <f t="shared" ref="C30:H30" si="2">SUM(C22:C29)</f>
        <v>14000</v>
      </c>
      <c r="D30" s="63">
        <f t="shared" si="2"/>
        <v>164000</v>
      </c>
      <c r="E30" s="64">
        <f t="shared" si="2"/>
        <v>164000</v>
      </c>
      <c r="F30" s="64">
        <f t="shared" si="2"/>
        <v>104000</v>
      </c>
      <c r="G30" s="64">
        <f t="shared" si="2"/>
        <v>154000</v>
      </c>
      <c r="H30" s="64">
        <f t="shared" si="2"/>
        <v>29000</v>
      </c>
      <c r="I30" s="319"/>
      <c r="J30" s="64">
        <f t="shared" ref="J30" si="3">SUM(J22:J29)</f>
        <v>104000</v>
      </c>
    </row>
    <row r="31" spans="1:10" ht="19.5" customHeight="1" x14ac:dyDescent="0.45">
      <c r="B31" s="79" t="s">
        <v>143</v>
      </c>
      <c r="C31" s="63">
        <f>'DPW Muni Trans &amp; Snow SW Fd'!C18</f>
        <v>108000</v>
      </c>
      <c r="D31" s="63">
        <f>'DPW Muni Trans &amp; Snow SW Fd'!D18</f>
        <v>158000</v>
      </c>
      <c r="E31" s="63">
        <f>'DPW Muni Trans &amp; Snow SW Fd'!E18</f>
        <v>133000</v>
      </c>
      <c r="F31" s="63">
        <f>'DPW Muni Trans &amp; Snow SW Fd'!F18</f>
        <v>168000</v>
      </c>
      <c r="G31" s="63">
        <f>'DPW Muni Trans &amp; Snow SW Fd'!G18</f>
        <v>218000</v>
      </c>
      <c r="H31" s="63">
        <f>'DPW Muni Trans &amp; Snow SW Fd'!H18</f>
        <v>18000</v>
      </c>
      <c r="I31" s="92" t="s">
        <v>701</v>
      </c>
      <c r="J31" s="289">
        <f>H31+(1*50000)-J28</f>
        <v>68000</v>
      </c>
    </row>
    <row r="32" spans="1:10" ht="20.25" customHeight="1" x14ac:dyDescent="0.45">
      <c r="B32" s="79" t="s">
        <v>352</v>
      </c>
      <c r="C32" s="93">
        <f>'DPW Muni Trans &amp; Snow SW Fd'!C26</f>
        <v>108000</v>
      </c>
      <c r="D32" s="93">
        <f>'DPW Muni Trans &amp; Snow SW Fd'!D26</f>
        <v>158000</v>
      </c>
      <c r="E32" s="93">
        <f>'DPW Muni Trans &amp; Snow SW Fd'!E26</f>
        <v>283000</v>
      </c>
      <c r="F32" s="93">
        <f>'DPW Muni Trans &amp; Snow SW Fd'!F26</f>
        <v>333000</v>
      </c>
      <c r="G32" s="93">
        <f>'DPW Muni Trans &amp; Snow SW Fd'!G26</f>
        <v>383000</v>
      </c>
      <c r="H32" s="93">
        <f>'DPW Muni Trans &amp; Snow SW Fd'!H26</f>
        <v>358000</v>
      </c>
      <c r="I32" s="319"/>
      <c r="J32" s="289">
        <f>H32+(1*50000)-J25</f>
        <v>308000</v>
      </c>
    </row>
    <row r="38" spans="1:4" ht="14.4" x14ac:dyDescent="0.3">
      <c r="A38" s="396" t="s">
        <v>414</v>
      </c>
    </row>
    <row r="39" spans="1:4" x14ac:dyDescent="0.3">
      <c r="A39" s="319" t="s">
        <v>415</v>
      </c>
    </row>
    <row r="40" spans="1:4" x14ac:dyDescent="0.3">
      <c r="A40" s="103" t="s">
        <v>416</v>
      </c>
      <c r="C40" s="70"/>
      <c r="D40" s="70"/>
    </row>
  </sheetData>
  <mergeCells count="1">
    <mergeCell ref="I4:J4"/>
  </mergeCells>
  <pageMargins left="0.7" right="0.7" top="0.75" bottom="0.75" header="0.3" footer="0.3"/>
  <pageSetup scale="76" orientation="landscape" r:id="rId1"/>
  <headerFooter>
    <oddHeader>&amp;C&amp;"-,Bold"&amp;12CIP DEPARTMENT INFORMATION REQUEST FORM
DEPARTMENT: DPW Road Rehab &amp; Reconstruction</oddHeader>
    <oddFooter>&amp;L&amp;A&amp;RPage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view="pageBreakPreview" zoomScaleNormal="100" zoomScaleSheetLayoutView="100" workbookViewId="0"/>
  </sheetViews>
  <sheetFormatPr defaultColWidth="9" defaultRowHeight="13.8" x14ac:dyDescent="0.3"/>
  <cols>
    <col min="1" max="1" width="27" customWidth="1"/>
    <col min="2" max="2" width="22.5546875" customWidth="1"/>
    <col min="3" max="3" width="11" customWidth="1"/>
    <col min="4" max="4" width="10.44140625" customWidth="1"/>
    <col min="5" max="5" width="10.6640625" bestFit="1" customWidth="1"/>
    <col min="6" max="6" width="9.44140625" customWidth="1"/>
    <col min="9" max="9" width="12.6640625" customWidth="1"/>
    <col min="10" max="10" width="12.44140625" customWidth="1"/>
  </cols>
  <sheetData>
    <row r="1" spans="1:10" ht="20.25" customHeight="1" x14ac:dyDescent="0.3">
      <c r="A1" s="252" t="s">
        <v>716</v>
      </c>
      <c r="I1" s="247"/>
      <c r="J1" s="248"/>
    </row>
    <row r="2" spans="1:10" x14ac:dyDescent="0.3">
      <c r="A2" s="252" t="s">
        <v>267</v>
      </c>
    </row>
    <row r="3" spans="1:10" x14ac:dyDescent="0.3">
      <c r="A3" s="252" t="s">
        <v>268</v>
      </c>
    </row>
    <row r="4" spans="1:10" s="24" customFormat="1" x14ac:dyDescent="0.3">
      <c r="A4" s="264" t="s">
        <v>269</v>
      </c>
      <c r="I4" s="623" t="s">
        <v>412</v>
      </c>
      <c r="J4" s="624"/>
    </row>
    <row r="5" spans="1:10" s="24" customFormat="1" x14ac:dyDescent="0.3">
      <c r="A5" s="21" t="s">
        <v>3</v>
      </c>
      <c r="B5" s="21" t="s">
        <v>8</v>
      </c>
      <c r="C5" s="22">
        <v>2021</v>
      </c>
      <c r="D5" s="22">
        <f>C5+1</f>
        <v>2022</v>
      </c>
      <c r="E5" s="22">
        <f>D5+1</f>
        <v>2023</v>
      </c>
      <c r="F5" s="22">
        <f>E5+1</f>
        <v>2024</v>
      </c>
      <c r="G5" s="22">
        <f>F5+1</f>
        <v>2025</v>
      </c>
      <c r="H5" s="22">
        <f>G5+1</f>
        <v>2026</v>
      </c>
      <c r="I5" s="21" t="s">
        <v>3</v>
      </c>
      <c r="J5" s="21" t="s">
        <v>2</v>
      </c>
    </row>
    <row r="6" spans="1:10" s="13" customFormat="1" ht="18" x14ac:dyDescent="0.35">
      <c r="A6" s="96" t="s">
        <v>73</v>
      </c>
      <c r="B6" s="60"/>
      <c r="C6" s="323">
        <f>'DPW Road Rehab'!C28</f>
        <v>200000</v>
      </c>
      <c r="D6" s="323">
        <f>'DPW Road Rehab'!D28</f>
        <v>0</v>
      </c>
      <c r="E6" s="323">
        <f>'DPW Road Rehab'!E28</f>
        <v>75000</v>
      </c>
      <c r="F6" s="323">
        <f>'DPW Road Rehab'!F28</f>
        <v>15000</v>
      </c>
      <c r="G6" s="323">
        <f>'DPW Road Rehab'!G28</f>
        <v>0</v>
      </c>
      <c r="H6" s="323">
        <f>'DPW Road Rehab'!H28</f>
        <v>250000</v>
      </c>
      <c r="I6" s="31"/>
      <c r="J6" s="31"/>
    </row>
    <row r="7" spans="1:10" s="13" customFormat="1" ht="30" customHeight="1" x14ac:dyDescent="0.35">
      <c r="A7" s="631" t="s">
        <v>338</v>
      </c>
      <c r="B7" s="631" t="s">
        <v>385</v>
      </c>
      <c r="C7" s="633"/>
      <c r="D7" s="633"/>
      <c r="E7" s="633"/>
      <c r="F7" s="633"/>
      <c r="G7" s="633"/>
      <c r="H7" s="633"/>
      <c r="I7" s="633"/>
      <c r="J7" s="633" t="s">
        <v>297</v>
      </c>
    </row>
    <row r="8" spans="1:10" s="13" customFormat="1" ht="24.75" customHeight="1" x14ac:dyDescent="0.35">
      <c r="A8" s="632"/>
      <c r="B8" s="632"/>
      <c r="C8" s="634"/>
      <c r="D8" s="634"/>
      <c r="E8" s="634"/>
      <c r="F8" s="634"/>
      <c r="G8" s="634"/>
      <c r="H8" s="634"/>
      <c r="I8" s="634"/>
      <c r="J8" s="634"/>
    </row>
    <row r="9" spans="1:10" s="13" customFormat="1" ht="18" x14ac:dyDescent="0.35">
      <c r="A9" s="32"/>
      <c r="B9" s="60"/>
      <c r="C9" s="18"/>
      <c r="D9" s="18"/>
      <c r="E9" s="18"/>
      <c r="F9" s="18"/>
      <c r="G9" s="18"/>
      <c r="H9" s="18"/>
      <c r="I9" s="31"/>
      <c r="J9" s="31"/>
    </row>
    <row r="10" spans="1:10" s="13" customFormat="1" ht="18" x14ac:dyDescent="0.35">
      <c r="A10" s="32"/>
      <c r="B10" s="60"/>
      <c r="C10" s="18"/>
      <c r="D10" s="18"/>
      <c r="E10" s="18"/>
      <c r="F10" s="18"/>
      <c r="G10" s="18"/>
      <c r="H10" s="18"/>
      <c r="I10" s="31"/>
      <c r="J10" s="31"/>
    </row>
    <row r="11" spans="1:10" s="13" customFormat="1" ht="18" x14ac:dyDescent="0.35">
      <c r="A11" s="32"/>
      <c r="B11" s="60"/>
      <c r="C11" s="18"/>
      <c r="D11" s="18"/>
      <c r="E11" s="18"/>
      <c r="F11" s="18"/>
      <c r="G11" s="18"/>
      <c r="H11" s="18"/>
      <c r="I11" s="340" t="s">
        <v>9</v>
      </c>
      <c r="J11" s="31"/>
    </row>
    <row r="12" spans="1:10" ht="28.5" customHeight="1" thickBot="1" x14ac:dyDescent="0.35">
      <c r="A12" s="12"/>
      <c r="B12" s="11" t="s">
        <v>0</v>
      </c>
      <c r="C12" s="1">
        <f t="shared" ref="C12:H12" si="0">SUM(C6:C11)</f>
        <v>200000</v>
      </c>
      <c r="D12" s="1">
        <f t="shared" si="0"/>
        <v>0</v>
      </c>
      <c r="E12" s="1">
        <f t="shared" si="0"/>
        <v>75000</v>
      </c>
      <c r="F12" s="1">
        <f t="shared" si="0"/>
        <v>15000</v>
      </c>
      <c r="G12" s="1">
        <f t="shared" si="0"/>
        <v>0</v>
      </c>
      <c r="H12" s="1">
        <f t="shared" si="0"/>
        <v>250000</v>
      </c>
      <c r="I12" s="192">
        <f>SUM(C12:H12)</f>
        <v>540000</v>
      </c>
      <c r="J12" s="30"/>
    </row>
    <row r="13" spans="1:10" s="319" customFormat="1" ht="12.75" customHeight="1" thickTop="1" x14ac:dyDescent="0.3">
      <c r="A13" s="284"/>
      <c r="B13" s="285"/>
      <c r="C13" s="139"/>
      <c r="D13" s="139"/>
      <c r="E13" s="139"/>
      <c r="F13" s="139"/>
      <c r="G13" s="139"/>
      <c r="H13" s="139"/>
      <c r="I13" s="139"/>
      <c r="J13" s="3"/>
    </row>
    <row r="14" spans="1:10" x14ac:dyDescent="0.3">
      <c r="B14" s="321" t="s">
        <v>367</v>
      </c>
    </row>
    <row r="15" spans="1:10" x14ac:dyDescent="0.3">
      <c r="B15" s="109" t="s">
        <v>660</v>
      </c>
      <c r="C15" s="137">
        <v>258000</v>
      </c>
      <c r="D15" s="4">
        <f>C18</f>
        <v>108000</v>
      </c>
      <c r="E15" s="4">
        <f t="shared" ref="E15:H15" si="1">D18</f>
        <v>158000</v>
      </c>
      <c r="F15" s="4">
        <f t="shared" si="1"/>
        <v>133000</v>
      </c>
      <c r="G15" s="4">
        <f t="shared" si="1"/>
        <v>168000</v>
      </c>
      <c r="H15" s="4">
        <f t="shared" si="1"/>
        <v>218000</v>
      </c>
    </row>
    <row r="16" spans="1:10" x14ac:dyDescent="0.3">
      <c r="B16" s="79" t="s">
        <v>16</v>
      </c>
      <c r="C16" s="4">
        <v>50000</v>
      </c>
      <c r="D16" s="4">
        <v>50000</v>
      </c>
      <c r="E16" s="4">
        <f>D16</f>
        <v>50000</v>
      </c>
      <c r="F16" s="4">
        <f t="shared" ref="F16:H16" si="2">E16</f>
        <v>50000</v>
      </c>
      <c r="G16" s="4">
        <f t="shared" si="2"/>
        <v>50000</v>
      </c>
      <c r="H16" s="4">
        <f t="shared" si="2"/>
        <v>50000</v>
      </c>
      <c r="I16" s="103" t="s">
        <v>165</v>
      </c>
    </row>
    <row r="17" spans="1:8" ht="15.6" x14ac:dyDescent="0.45">
      <c r="B17" s="79" t="s">
        <v>36</v>
      </c>
      <c r="C17" s="145">
        <f t="shared" ref="C17:H17" si="3">-C12</f>
        <v>-200000</v>
      </c>
      <c r="D17" s="193">
        <f t="shared" si="3"/>
        <v>0</v>
      </c>
      <c r="E17" s="288">
        <f t="shared" si="3"/>
        <v>-75000</v>
      </c>
      <c r="F17" s="288">
        <f t="shared" si="3"/>
        <v>-15000</v>
      </c>
      <c r="G17" s="288">
        <f t="shared" si="3"/>
        <v>0</v>
      </c>
      <c r="H17" s="288">
        <f t="shared" si="3"/>
        <v>-250000</v>
      </c>
    </row>
    <row r="18" spans="1:8" ht="15.6" x14ac:dyDescent="0.45">
      <c r="B18" s="380" t="s">
        <v>37</v>
      </c>
      <c r="C18" s="63">
        <f t="shared" ref="C18:H18" si="4">SUM(C15:C17)</f>
        <v>108000</v>
      </c>
      <c r="D18" s="63">
        <f t="shared" si="4"/>
        <v>158000</v>
      </c>
      <c r="E18" s="63">
        <f t="shared" si="4"/>
        <v>133000</v>
      </c>
      <c r="F18" s="63">
        <f t="shared" si="4"/>
        <v>168000</v>
      </c>
      <c r="G18" s="63">
        <f t="shared" si="4"/>
        <v>218000</v>
      </c>
      <c r="H18" s="63">
        <f t="shared" si="4"/>
        <v>18000</v>
      </c>
    </row>
    <row r="20" spans="1:8" x14ac:dyDescent="0.3">
      <c r="A20" s="319"/>
      <c r="B20" s="321" t="s">
        <v>368</v>
      </c>
    </row>
    <row r="21" spans="1:8" x14ac:dyDescent="0.3">
      <c r="A21" s="319"/>
      <c r="B21" s="109" t="s">
        <v>660</v>
      </c>
      <c r="C21" s="70">
        <v>223000</v>
      </c>
      <c r="D21" s="70">
        <f>C26</f>
        <v>108000</v>
      </c>
      <c r="E21" s="70">
        <f>D26</f>
        <v>158000</v>
      </c>
      <c r="F21" s="70">
        <f>E26</f>
        <v>283000</v>
      </c>
      <c r="G21" s="70">
        <f>F26</f>
        <v>333000</v>
      </c>
      <c r="H21" s="70">
        <f>G26</f>
        <v>383000</v>
      </c>
    </row>
    <row r="22" spans="1:8" x14ac:dyDescent="0.3">
      <c r="A22" s="319"/>
      <c r="B22" s="79" t="s">
        <v>351</v>
      </c>
      <c r="C22" s="70">
        <v>50000</v>
      </c>
      <c r="D22" s="70">
        <f>C22</f>
        <v>50000</v>
      </c>
      <c r="E22" s="70">
        <f>D22</f>
        <v>50000</v>
      </c>
      <c r="F22" s="70">
        <f>E22</f>
        <v>50000</v>
      </c>
      <c r="G22" s="70">
        <f>F22</f>
        <v>50000</v>
      </c>
      <c r="H22" s="70">
        <f>G22</f>
        <v>50000</v>
      </c>
    </row>
    <row r="23" spans="1:8" s="319" customFormat="1" x14ac:dyDescent="0.3">
      <c r="B23" s="79" t="s">
        <v>372</v>
      </c>
      <c r="C23" s="70"/>
      <c r="D23" s="70"/>
      <c r="E23" s="70"/>
      <c r="F23" s="70"/>
      <c r="G23" s="70"/>
      <c r="H23" s="70"/>
    </row>
    <row r="24" spans="1:8" s="319" customFormat="1" x14ac:dyDescent="0.3">
      <c r="B24" s="365" t="s">
        <v>373</v>
      </c>
      <c r="C24" s="70">
        <v>0</v>
      </c>
      <c r="D24" s="70">
        <v>0</v>
      </c>
      <c r="E24" s="70">
        <f>'DPW-CEM Equip'!E29</f>
        <v>75000</v>
      </c>
      <c r="F24" s="70">
        <f>-'DPW-CEM Equip'!F29</f>
        <v>0</v>
      </c>
      <c r="G24" s="70">
        <v>0</v>
      </c>
      <c r="H24" s="70">
        <v>0</v>
      </c>
    </row>
    <row r="25" spans="1:8" ht="15.6" x14ac:dyDescent="0.45">
      <c r="A25" s="319"/>
      <c r="B25" s="365" t="s">
        <v>374</v>
      </c>
      <c r="C25" s="325">
        <f>-'DPW Road Rehab'!C25</f>
        <v>-165000</v>
      </c>
      <c r="D25" s="325">
        <f>-'DPW Road Rehab'!D25</f>
        <v>0</v>
      </c>
      <c r="E25" s="325">
        <f>-'DPW Road Rehab'!E25</f>
        <v>0</v>
      </c>
      <c r="F25" s="325">
        <f>-'DPW Road Rehab'!F25</f>
        <v>0</v>
      </c>
      <c r="G25" s="325">
        <f>-'DPW Road Rehab'!G25</f>
        <v>0</v>
      </c>
      <c r="H25" s="325">
        <f>-'DPW Road Rehab'!H25</f>
        <v>-75000</v>
      </c>
    </row>
    <row r="26" spans="1:8" ht="15.6" x14ac:dyDescent="0.45">
      <c r="A26" s="319"/>
      <c r="B26" s="380" t="s">
        <v>37</v>
      </c>
      <c r="C26" s="289">
        <f t="shared" ref="C26:H26" si="5">SUM(C21:C25)</f>
        <v>108000</v>
      </c>
      <c r="D26" s="289">
        <f t="shared" si="5"/>
        <v>158000</v>
      </c>
      <c r="E26" s="289">
        <f t="shared" si="5"/>
        <v>283000</v>
      </c>
      <c r="F26" s="289">
        <f t="shared" si="5"/>
        <v>333000</v>
      </c>
      <c r="G26" s="289">
        <f t="shared" si="5"/>
        <v>383000</v>
      </c>
      <c r="H26" s="289">
        <f t="shared" si="5"/>
        <v>358000</v>
      </c>
    </row>
  </sheetData>
  <mergeCells count="11">
    <mergeCell ref="I4:J4"/>
    <mergeCell ref="B7:B8"/>
    <mergeCell ref="A7:A8"/>
    <mergeCell ref="D7:D8"/>
    <mergeCell ref="C7:C8"/>
    <mergeCell ref="E7:E8"/>
    <mergeCell ref="F7:F8"/>
    <mergeCell ref="G7:G8"/>
    <mergeCell ref="H7:H8"/>
    <mergeCell ref="I7:I8"/>
    <mergeCell ref="J7:J8"/>
  </mergeCells>
  <pageMargins left="0.7" right="0.7" top="0.75" bottom="0.75" header="0.3" footer="0.3"/>
  <pageSetup orientation="landscape" r:id="rId1"/>
  <headerFooter>
    <oddHeader>&amp;C&amp;"-,Bold"&amp;12CIP DEPARTMENT INFORMATION REQUEST FORM
DEPARTMENT: DPW Municipal Transportation &amp; Snow Sidewalk Funds</oddHeader>
    <oddFooter>&amp;L&amp;A&amp;RPage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tabSelected="1" view="pageBreakPreview" topLeftCell="A10" zoomScale="99" zoomScaleNormal="100" zoomScaleSheetLayoutView="100" workbookViewId="0">
      <selection activeCell="A23" sqref="A23:H26"/>
    </sheetView>
  </sheetViews>
  <sheetFormatPr defaultColWidth="9" defaultRowHeight="13.8" x14ac:dyDescent="0.3"/>
  <cols>
    <col min="1" max="1" width="25.44140625" style="103" customWidth="1"/>
    <col min="2" max="2" width="22.33203125" style="176" customWidth="1"/>
    <col min="3" max="3" width="11" style="176" customWidth="1"/>
    <col min="4" max="4" width="10.5546875" style="176" bestFit="1" customWidth="1"/>
    <col min="5" max="5" width="10.6640625" style="176" customWidth="1"/>
    <col min="6" max="8" width="10.5546875" style="176" bestFit="1" customWidth="1"/>
    <col min="9" max="9" width="14.33203125" style="176" customWidth="1"/>
    <col min="10" max="10" width="14.44140625" style="176" customWidth="1"/>
    <col min="11" max="16384" width="9" style="176"/>
  </cols>
  <sheetData>
    <row r="1" spans="1:10" ht="20.25" customHeight="1" x14ac:dyDescent="0.3">
      <c r="A1" s="320" t="s">
        <v>716</v>
      </c>
      <c r="B1" s="319"/>
      <c r="C1" s="319"/>
      <c r="D1" s="319"/>
      <c r="E1" s="319"/>
      <c r="F1" s="319"/>
      <c r="G1" s="295"/>
      <c r="H1" s="295"/>
      <c r="I1" s="295"/>
      <c r="J1" s="295"/>
    </row>
    <row r="2" spans="1:10" x14ac:dyDescent="0.3">
      <c r="A2" s="320" t="s">
        <v>267</v>
      </c>
      <c r="B2" s="319"/>
      <c r="C2" s="319"/>
      <c r="D2" s="319"/>
      <c r="E2" s="319"/>
      <c r="F2" s="319"/>
      <c r="G2" s="295"/>
      <c r="H2" s="295"/>
      <c r="I2" s="295"/>
      <c r="J2" s="295"/>
    </row>
    <row r="3" spans="1:10" x14ac:dyDescent="0.3">
      <c r="A3" s="320" t="s">
        <v>268</v>
      </c>
      <c r="B3" s="319"/>
      <c r="C3" s="319"/>
      <c r="D3" s="319"/>
      <c r="E3" s="319"/>
      <c r="F3" s="319"/>
      <c r="G3" s="295"/>
      <c r="H3" s="295"/>
      <c r="I3" s="295"/>
      <c r="J3" s="295"/>
    </row>
    <row r="4" spans="1:10" s="24" customFormat="1" x14ac:dyDescent="0.3">
      <c r="A4" s="327" t="s">
        <v>269</v>
      </c>
      <c r="B4" s="265"/>
      <c r="C4" s="265"/>
      <c r="D4" s="265"/>
      <c r="E4" s="265"/>
      <c r="F4" s="265"/>
      <c r="G4" s="266"/>
      <c r="H4" s="266"/>
      <c r="I4" s="623" t="s">
        <v>412</v>
      </c>
      <c r="J4" s="624"/>
    </row>
    <row r="5" spans="1:10" s="24" customFormat="1" x14ac:dyDescent="0.3">
      <c r="A5" s="280" t="s">
        <v>3</v>
      </c>
      <c r="B5" s="280" t="s">
        <v>8</v>
      </c>
      <c r="C5" s="281">
        <v>2021</v>
      </c>
      <c r="D5" s="281">
        <f>C5+1</f>
        <v>2022</v>
      </c>
      <c r="E5" s="281">
        <f>D5+1</f>
        <v>2023</v>
      </c>
      <c r="F5" s="281">
        <f>E5+1</f>
        <v>2024</v>
      </c>
      <c r="G5" s="281">
        <f>F5+1</f>
        <v>2025</v>
      </c>
      <c r="H5" s="281">
        <f>G5+1</f>
        <v>2026</v>
      </c>
      <c r="I5" s="280" t="s">
        <v>3</v>
      </c>
      <c r="J5" s="280" t="s">
        <v>2</v>
      </c>
    </row>
    <row r="6" spans="1:10" s="178" customFormat="1" ht="27.6" x14ac:dyDescent="0.35">
      <c r="A6" s="460" t="s">
        <v>245</v>
      </c>
      <c r="B6" s="96" t="s">
        <v>417</v>
      </c>
      <c r="C6" s="323">
        <v>100000</v>
      </c>
      <c r="D6" s="323"/>
      <c r="E6" s="323"/>
      <c r="F6" s="323"/>
      <c r="G6" s="323"/>
      <c r="H6" s="323"/>
      <c r="I6" s="457"/>
      <c r="J6" s="323"/>
    </row>
    <row r="7" spans="1:10" s="178" customFormat="1" ht="18" x14ac:dyDescent="0.35">
      <c r="A7" s="77" t="s">
        <v>246</v>
      </c>
      <c r="B7" s="77" t="s">
        <v>244</v>
      </c>
      <c r="C7" s="323">
        <v>85000</v>
      </c>
      <c r="D7" s="323"/>
      <c r="E7" s="323"/>
      <c r="F7" s="323"/>
      <c r="G7" s="323"/>
      <c r="H7" s="323"/>
      <c r="I7" s="457"/>
      <c r="J7" s="323"/>
    </row>
    <row r="8" spans="1:10" s="322" customFormat="1" ht="18" x14ac:dyDescent="0.35">
      <c r="A8" s="77" t="s">
        <v>250</v>
      </c>
      <c r="B8" s="96" t="s">
        <v>244</v>
      </c>
      <c r="C8" s="268">
        <v>22000</v>
      </c>
      <c r="D8" s="323"/>
      <c r="E8" s="323"/>
      <c r="F8" s="323"/>
      <c r="G8" s="323"/>
      <c r="H8" s="323"/>
      <c r="I8" s="457"/>
      <c r="J8" s="323"/>
    </row>
    <row r="9" spans="1:10" s="322" customFormat="1" ht="18" x14ac:dyDescent="0.35">
      <c r="A9" s="77" t="s">
        <v>251</v>
      </c>
      <c r="B9" s="96" t="s">
        <v>244</v>
      </c>
      <c r="C9" s="268">
        <v>28000</v>
      </c>
      <c r="D9" s="323"/>
      <c r="E9" s="323"/>
      <c r="F9" s="323"/>
      <c r="G9" s="323"/>
      <c r="H9" s="323"/>
      <c r="I9" s="457"/>
      <c r="J9" s="323"/>
    </row>
    <row r="10" spans="1:10" s="89" customFormat="1" ht="18" x14ac:dyDescent="0.3">
      <c r="A10" s="77" t="s">
        <v>247</v>
      </c>
      <c r="B10" s="96" t="s">
        <v>244</v>
      </c>
      <c r="C10" s="268"/>
      <c r="D10" s="397">
        <v>12000</v>
      </c>
      <c r="E10" s="323"/>
      <c r="F10" s="323"/>
      <c r="G10" s="323"/>
      <c r="H10" s="323"/>
      <c r="I10" s="457"/>
      <c r="J10" s="323"/>
    </row>
    <row r="11" spans="1:10" s="89" customFormat="1" ht="18.75" customHeight="1" thickBot="1" x14ac:dyDescent="0.35">
      <c r="A11" s="77" t="s">
        <v>507</v>
      </c>
      <c r="B11" s="96" t="s">
        <v>244</v>
      </c>
      <c r="C11" s="268"/>
      <c r="D11" s="397">
        <v>35000</v>
      </c>
      <c r="E11" s="323"/>
      <c r="F11" s="323"/>
      <c r="G11" s="323"/>
      <c r="H11" s="323"/>
      <c r="I11" s="458"/>
      <c r="J11" s="26"/>
    </row>
    <row r="12" spans="1:10" s="89" customFormat="1" ht="18" x14ac:dyDescent="0.3">
      <c r="A12" s="77" t="s">
        <v>248</v>
      </c>
      <c r="B12" s="96" t="s">
        <v>508</v>
      </c>
      <c r="C12" s="268"/>
      <c r="D12" s="397">
        <v>17000</v>
      </c>
      <c r="E12" s="323"/>
      <c r="F12" s="323"/>
      <c r="G12" s="323"/>
      <c r="H12" s="464"/>
      <c r="I12" s="635" t="s">
        <v>386</v>
      </c>
      <c r="J12" s="636"/>
    </row>
    <row r="13" spans="1:10" s="178" customFormat="1" ht="18" x14ac:dyDescent="0.35">
      <c r="A13" s="77" t="s">
        <v>249</v>
      </c>
      <c r="B13" s="96" t="s">
        <v>508</v>
      </c>
      <c r="C13" s="268"/>
      <c r="D13" s="397">
        <v>29000</v>
      </c>
      <c r="E13" s="323"/>
      <c r="F13" s="323"/>
      <c r="G13" s="323"/>
      <c r="H13" s="464"/>
      <c r="I13" s="637"/>
      <c r="J13" s="638"/>
    </row>
    <row r="14" spans="1:10" s="178" customFormat="1" ht="18" x14ac:dyDescent="0.35">
      <c r="A14" s="77" t="s">
        <v>356</v>
      </c>
      <c r="B14" s="96" t="s">
        <v>508</v>
      </c>
      <c r="C14" s="268"/>
      <c r="D14" s="397">
        <v>35000</v>
      </c>
      <c r="E14" s="323"/>
      <c r="F14" s="323"/>
      <c r="G14" s="323"/>
      <c r="H14" s="464"/>
      <c r="I14" s="637"/>
      <c r="J14" s="638"/>
    </row>
    <row r="15" spans="1:10" s="178" customFormat="1" ht="18.600000000000001" thickBot="1" x14ac:dyDescent="0.4">
      <c r="A15" s="77" t="s">
        <v>357</v>
      </c>
      <c r="B15" s="96" t="s">
        <v>508</v>
      </c>
      <c r="C15" s="268"/>
      <c r="D15" s="397">
        <v>25000</v>
      </c>
      <c r="E15" s="323"/>
      <c r="F15" s="323"/>
      <c r="G15" s="323"/>
      <c r="H15" s="464"/>
      <c r="I15" s="639"/>
      <c r="J15" s="640"/>
    </row>
    <row r="16" spans="1:10" s="178" customFormat="1" ht="18" x14ac:dyDescent="0.35">
      <c r="A16" s="77" t="s">
        <v>360</v>
      </c>
      <c r="B16" s="96" t="s">
        <v>244</v>
      </c>
      <c r="C16" s="268"/>
      <c r="D16" s="397">
        <v>30000</v>
      </c>
      <c r="E16" s="323"/>
      <c r="F16" s="323"/>
      <c r="G16" s="323"/>
      <c r="H16" s="323"/>
      <c r="I16" s="349"/>
      <c r="J16" s="465"/>
    </row>
    <row r="17" spans="1:10" s="322" customFormat="1" ht="18" x14ac:dyDescent="0.35">
      <c r="A17" s="77" t="s">
        <v>361</v>
      </c>
      <c r="B17" s="96" t="s">
        <v>244</v>
      </c>
      <c r="C17" s="268"/>
      <c r="D17" s="397">
        <v>35000</v>
      </c>
      <c r="E17" s="323"/>
      <c r="F17" s="323"/>
      <c r="G17" s="323"/>
      <c r="H17" s="323"/>
      <c r="I17" s="349"/>
      <c r="J17" s="298"/>
    </row>
    <row r="18" spans="1:10" s="178" customFormat="1" ht="18" x14ac:dyDescent="0.35">
      <c r="A18" s="77" t="s">
        <v>362</v>
      </c>
      <c r="B18" s="96" t="s">
        <v>244</v>
      </c>
      <c r="C18" s="268"/>
      <c r="D18" s="397">
        <v>40000</v>
      </c>
      <c r="E18" s="323"/>
      <c r="F18" s="323"/>
      <c r="G18" s="323"/>
      <c r="H18" s="323"/>
      <c r="I18" s="457"/>
      <c r="J18" s="323"/>
    </row>
    <row r="19" spans="1:10" s="178" customFormat="1" ht="18" x14ac:dyDescent="0.35">
      <c r="A19" s="77" t="s">
        <v>253</v>
      </c>
      <c r="B19" s="96" t="s">
        <v>244</v>
      </c>
      <c r="C19" s="268"/>
      <c r="D19" s="323"/>
      <c r="E19" s="323">
        <v>100000</v>
      </c>
      <c r="F19" s="323"/>
      <c r="G19" s="323"/>
      <c r="H19" s="323"/>
      <c r="I19" s="457"/>
      <c r="J19" s="323"/>
    </row>
    <row r="20" spans="1:10" s="178" customFormat="1" ht="18" x14ac:dyDescent="0.35">
      <c r="A20" s="77" t="s">
        <v>254</v>
      </c>
      <c r="B20" s="96" t="s">
        <v>244</v>
      </c>
      <c r="C20" s="268"/>
      <c r="D20" s="323"/>
      <c r="E20" s="323">
        <v>80000</v>
      </c>
      <c r="F20" s="323"/>
      <c r="G20" s="323"/>
      <c r="H20" s="323"/>
      <c r="I20" s="457"/>
      <c r="J20" s="323"/>
    </row>
    <row r="21" spans="1:10" s="178" customFormat="1" ht="18" x14ac:dyDescent="0.35">
      <c r="A21" s="77" t="s">
        <v>255</v>
      </c>
      <c r="B21" s="96" t="s">
        <v>244</v>
      </c>
      <c r="C21" s="292"/>
      <c r="D21" s="323"/>
      <c r="E21" s="323">
        <v>56000</v>
      </c>
      <c r="F21" s="323"/>
      <c r="G21" s="323"/>
      <c r="H21" s="323"/>
      <c r="I21" s="457"/>
      <c r="J21" s="323"/>
    </row>
    <row r="22" spans="1:10" s="178" customFormat="1" ht="18" x14ac:dyDescent="0.35">
      <c r="A22" s="77" t="s">
        <v>359</v>
      </c>
      <c r="B22" s="96" t="s">
        <v>244</v>
      </c>
      <c r="C22" s="292"/>
      <c r="D22" s="323"/>
      <c r="E22" s="323"/>
      <c r="F22" s="323">
        <v>250000</v>
      </c>
      <c r="G22" s="323"/>
      <c r="H22" s="323"/>
      <c r="I22" s="457"/>
      <c r="J22" s="323"/>
    </row>
    <row r="23" spans="1:10" s="178" customFormat="1" ht="18" x14ac:dyDescent="0.35">
      <c r="A23" s="77" t="s">
        <v>252</v>
      </c>
      <c r="B23" s="96" t="s">
        <v>244</v>
      </c>
      <c r="C23" s="268"/>
      <c r="D23" s="323"/>
      <c r="E23" s="323"/>
      <c r="F23" s="323"/>
      <c r="G23" s="323">
        <v>46000</v>
      </c>
      <c r="H23" s="323"/>
      <c r="I23" s="457"/>
      <c r="J23" s="323"/>
    </row>
    <row r="24" spans="1:10" s="178" customFormat="1" ht="18" x14ac:dyDescent="0.35">
      <c r="A24" s="77" t="s">
        <v>358</v>
      </c>
      <c r="B24" s="96" t="s">
        <v>508</v>
      </c>
      <c r="C24" s="268"/>
      <c r="D24" s="323"/>
      <c r="E24" s="323"/>
      <c r="F24" s="323"/>
      <c r="G24" s="323">
        <v>65000</v>
      </c>
      <c r="H24" s="323"/>
      <c r="I24" s="457"/>
      <c r="J24" s="323"/>
    </row>
    <row r="25" spans="1:10" s="178" customFormat="1" ht="27.6" x14ac:dyDescent="0.35">
      <c r="A25" s="460" t="s">
        <v>147</v>
      </c>
      <c r="B25" s="96" t="s">
        <v>510</v>
      </c>
      <c r="C25" s="268"/>
      <c r="D25" s="323"/>
      <c r="E25" s="323"/>
      <c r="F25" s="323"/>
      <c r="G25" s="61">
        <v>110000</v>
      </c>
      <c r="H25" s="61">
        <v>250000</v>
      </c>
      <c r="I25" s="457"/>
      <c r="J25" s="323"/>
    </row>
    <row r="26" spans="1:10" s="178" customFormat="1" ht="18" x14ac:dyDescent="0.35">
      <c r="A26" s="462" t="s">
        <v>509</v>
      </c>
      <c r="B26" s="456"/>
      <c r="C26" s="463">
        <v>15000</v>
      </c>
      <c r="D26" s="463">
        <v>15000</v>
      </c>
      <c r="E26" s="463">
        <v>15000</v>
      </c>
      <c r="F26" s="463">
        <v>15000</v>
      </c>
      <c r="G26" s="463">
        <v>15000</v>
      </c>
      <c r="H26" s="463">
        <v>15000</v>
      </c>
      <c r="I26" s="457"/>
      <c r="J26" s="323"/>
    </row>
    <row r="27" spans="1:10" s="178" customFormat="1" ht="18" x14ac:dyDescent="0.35">
      <c r="A27" s="461"/>
      <c r="B27" s="168"/>
      <c r="C27" s="268"/>
      <c r="D27" s="268"/>
      <c r="E27" s="268"/>
      <c r="F27" s="268"/>
      <c r="G27" s="268"/>
      <c r="H27" s="268"/>
      <c r="I27" s="459" t="s">
        <v>9</v>
      </c>
      <c r="J27" s="323"/>
    </row>
    <row r="28" spans="1:10" s="178" customFormat="1" ht="18.600000000000001" thickBot="1" x14ac:dyDescent="0.4">
      <c r="A28" s="269"/>
      <c r="B28" s="358" t="s">
        <v>0</v>
      </c>
      <c r="C28" s="271">
        <f t="shared" ref="C28:H28" si="0">SUM(C6:C26)</f>
        <v>250000</v>
      </c>
      <c r="D28" s="271">
        <f t="shared" si="0"/>
        <v>273000</v>
      </c>
      <c r="E28" s="271">
        <f t="shared" si="0"/>
        <v>251000</v>
      </c>
      <c r="F28" s="271">
        <f t="shared" si="0"/>
        <v>265000</v>
      </c>
      <c r="G28" s="271">
        <f t="shared" si="0"/>
        <v>236000</v>
      </c>
      <c r="H28" s="271">
        <f t="shared" si="0"/>
        <v>265000</v>
      </c>
      <c r="I28" s="10">
        <f>SUM(C28:H28)</f>
        <v>1540000</v>
      </c>
      <c r="J28" s="10">
        <f>SUM(J6:J19)</f>
        <v>0</v>
      </c>
    </row>
    <row r="29" spans="1:10" ht="14.4" thickTop="1" x14ac:dyDescent="0.3"/>
    <row r="30" spans="1:10" ht="14.4" thickBot="1" x14ac:dyDescent="0.35">
      <c r="H30" s="176" t="s">
        <v>366</v>
      </c>
      <c r="I30" s="10">
        <v>1410000</v>
      </c>
    </row>
    <row r="31" spans="1:10" ht="14.4" thickTop="1" x14ac:dyDescent="0.3"/>
  </sheetData>
  <mergeCells count="2">
    <mergeCell ref="I4:J4"/>
    <mergeCell ref="I12:J15"/>
  </mergeCells>
  <pageMargins left="0.7" right="0.7" top="0.75" bottom="0.75" header="0.3" footer="0.3"/>
  <pageSetup scale="90" orientation="landscape" r:id="rId1"/>
  <headerFooter>
    <oddHeader>&amp;C&amp;"-,Bold"&amp;12CIP DEPARTMENT INFORMATION REQUEST FORM
DEPARTMENT: DPW Road Maintenance (OPERATING A/C)</oddHeader>
    <oddFooter>&amp;L&amp;A&amp;RPage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view="pageBreakPreview" zoomScaleNormal="100" zoomScaleSheetLayoutView="100" workbookViewId="0">
      <selection activeCell="C18" sqref="C18:E18"/>
    </sheetView>
  </sheetViews>
  <sheetFormatPr defaultColWidth="9" defaultRowHeight="13.8" x14ac:dyDescent="0.3"/>
  <cols>
    <col min="1" max="1" width="25" style="251" customWidth="1"/>
    <col min="2" max="2" width="26.5546875" style="251" customWidth="1"/>
    <col min="3" max="3" width="10.109375" style="251" customWidth="1"/>
    <col min="4" max="4" width="9.6640625" style="251" customWidth="1"/>
    <col min="5" max="8" width="9" style="251"/>
    <col min="9" max="9" width="19.88671875" style="251" customWidth="1"/>
    <col min="10" max="10" width="12.44140625" style="251" customWidth="1"/>
    <col min="11" max="16384" width="9" style="251"/>
  </cols>
  <sheetData>
    <row r="1" spans="1:10" ht="20.25" customHeight="1" x14ac:dyDescent="0.3">
      <c r="A1" s="252" t="s">
        <v>716</v>
      </c>
      <c r="G1" s="263"/>
      <c r="H1" s="263"/>
      <c r="I1" s="247"/>
      <c r="J1" s="248"/>
    </row>
    <row r="2" spans="1:10" x14ac:dyDescent="0.3">
      <c r="A2" s="252" t="s">
        <v>267</v>
      </c>
      <c r="G2" s="263"/>
      <c r="H2" s="263"/>
      <c r="I2" s="274" t="s">
        <v>282</v>
      </c>
      <c r="J2" s="263"/>
    </row>
    <row r="3" spans="1:10" x14ac:dyDescent="0.3">
      <c r="A3" s="252" t="s">
        <v>268</v>
      </c>
      <c r="G3" s="263"/>
      <c r="H3" s="263"/>
      <c r="I3" s="263"/>
      <c r="J3" s="263"/>
    </row>
    <row r="4" spans="1:10" s="265" customFormat="1" ht="17.25" customHeight="1" x14ac:dyDescent="0.3">
      <c r="A4" s="264" t="s">
        <v>269</v>
      </c>
      <c r="G4" s="266"/>
      <c r="H4" s="266"/>
      <c r="I4" s="623" t="s">
        <v>412</v>
      </c>
      <c r="J4" s="624"/>
    </row>
    <row r="5" spans="1:10" s="253" customFormat="1" x14ac:dyDescent="0.3">
      <c r="A5" s="254" t="s">
        <v>3</v>
      </c>
      <c r="B5" s="254" t="s">
        <v>8</v>
      </c>
      <c r="C5" s="255">
        <v>2021</v>
      </c>
      <c r="D5" s="255">
        <f>C5+1</f>
        <v>2022</v>
      </c>
      <c r="E5" s="255">
        <f>D5+1</f>
        <v>2023</v>
      </c>
      <c r="F5" s="255">
        <f>E5+1</f>
        <v>2024</v>
      </c>
      <c r="G5" s="255">
        <f>F5+1</f>
        <v>2025</v>
      </c>
      <c r="H5" s="255">
        <f>G5+1</f>
        <v>2026</v>
      </c>
      <c r="I5" s="254" t="s">
        <v>3</v>
      </c>
      <c r="J5" s="254" t="s">
        <v>2</v>
      </c>
    </row>
    <row r="6" spans="1:10" s="257" customFormat="1" ht="41.4" x14ac:dyDescent="0.35">
      <c r="A6" s="273" t="s">
        <v>278</v>
      </c>
      <c r="B6" s="168" t="s">
        <v>333</v>
      </c>
      <c r="D6" s="397">
        <v>50000</v>
      </c>
      <c r="E6" s="397"/>
      <c r="F6" s="397"/>
      <c r="G6" s="397"/>
      <c r="H6" s="397"/>
      <c r="I6" s="397"/>
      <c r="J6" s="397"/>
    </row>
    <row r="7" spans="1:10" s="257" customFormat="1" ht="38.25" customHeight="1" x14ac:dyDescent="0.35">
      <c r="A7" s="273" t="s">
        <v>278</v>
      </c>
      <c r="B7" s="168" t="s">
        <v>279</v>
      </c>
      <c r="C7" s="397"/>
      <c r="D7" s="397"/>
      <c r="E7" s="397">
        <v>50000</v>
      </c>
      <c r="F7" s="397"/>
      <c r="G7" s="397"/>
      <c r="H7" s="397"/>
      <c r="I7" s="647" t="s">
        <v>378</v>
      </c>
      <c r="J7" s="397"/>
    </row>
    <row r="8" spans="1:10" s="257" customFormat="1" ht="27.6" x14ac:dyDescent="0.35">
      <c r="A8" s="273" t="s">
        <v>278</v>
      </c>
      <c r="B8" s="168" t="s">
        <v>280</v>
      </c>
      <c r="C8" s="397"/>
      <c r="D8" s="397"/>
      <c r="E8" s="397"/>
      <c r="F8" s="397">
        <v>50000</v>
      </c>
      <c r="G8" s="397"/>
      <c r="H8" s="397"/>
      <c r="I8" s="648"/>
      <c r="J8" s="397"/>
    </row>
    <row r="9" spans="1:10" s="257" customFormat="1" ht="27.6" x14ac:dyDescent="0.35">
      <c r="A9" s="273" t="s">
        <v>278</v>
      </c>
      <c r="B9" s="168" t="s">
        <v>280</v>
      </c>
      <c r="C9" s="397"/>
      <c r="D9" s="397"/>
      <c r="E9" s="397"/>
      <c r="F9" s="397"/>
      <c r="G9" s="397">
        <v>50000</v>
      </c>
      <c r="H9" s="397"/>
      <c r="I9" s="397"/>
      <c r="J9" s="397"/>
    </row>
    <row r="10" spans="1:10" s="257" customFormat="1" ht="27.6" x14ac:dyDescent="0.35">
      <c r="A10" s="273" t="s">
        <v>278</v>
      </c>
      <c r="B10" s="168" t="s">
        <v>280</v>
      </c>
      <c r="C10" s="397"/>
      <c r="D10" s="397"/>
      <c r="E10" s="397"/>
      <c r="F10" s="397"/>
      <c r="G10" s="397"/>
      <c r="H10" s="397">
        <v>50000</v>
      </c>
      <c r="I10" s="397"/>
      <c r="J10" s="397"/>
    </row>
    <row r="11" spans="1:10" s="257" customFormat="1" ht="18" x14ac:dyDescent="0.35">
      <c r="A11" s="249"/>
      <c r="B11" s="249"/>
      <c r="C11" s="397"/>
      <c r="D11" s="397"/>
      <c r="E11" s="397"/>
      <c r="F11" s="397"/>
      <c r="G11" s="397"/>
      <c r="H11" s="397"/>
      <c r="I11" s="397"/>
      <c r="J11" s="397"/>
    </row>
    <row r="12" spans="1:10" s="257" customFormat="1" ht="18" x14ac:dyDescent="0.35">
      <c r="A12" s="249"/>
      <c r="B12" s="249"/>
      <c r="C12" s="268"/>
      <c r="D12" s="268"/>
      <c r="E12" s="268"/>
      <c r="F12" s="268"/>
      <c r="G12" s="268"/>
      <c r="H12" s="268"/>
      <c r="I12" s="44" t="s">
        <v>9</v>
      </c>
      <c r="J12" s="258"/>
    </row>
    <row r="13" spans="1:10" ht="28.5" customHeight="1" thickBot="1" x14ac:dyDescent="0.35">
      <c r="A13" s="269"/>
      <c r="B13" s="270" t="s">
        <v>0</v>
      </c>
      <c r="C13" s="271">
        <f t="shared" ref="C13:H13" si="0">SUM(C6:C12)</f>
        <v>0</v>
      </c>
      <c r="D13" s="271">
        <f t="shared" si="0"/>
        <v>50000</v>
      </c>
      <c r="E13" s="271">
        <f t="shared" si="0"/>
        <v>50000</v>
      </c>
      <c r="F13" s="271">
        <f t="shared" si="0"/>
        <v>50000</v>
      </c>
      <c r="G13" s="271">
        <f t="shared" si="0"/>
        <v>50000</v>
      </c>
      <c r="H13" s="271">
        <f t="shared" si="0"/>
        <v>50000</v>
      </c>
      <c r="I13" s="262">
        <f>SUM(C13:H13)</f>
        <v>250000</v>
      </c>
      <c r="J13" s="262">
        <f>SUM(J6:J12)</f>
        <v>0</v>
      </c>
    </row>
    <row r="14" spans="1:10" ht="13.5" customHeight="1" thickTop="1" x14ac:dyDescent="0.3">
      <c r="A14" s="649" t="s">
        <v>419</v>
      </c>
    </row>
    <row r="15" spans="1:10" x14ac:dyDescent="0.3">
      <c r="A15" s="650"/>
      <c r="B15" s="251" t="s">
        <v>411</v>
      </c>
      <c r="C15" s="258">
        <v>0</v>
      </c>
    </row>
    <row r="16" spans="1:10" x14ac:dyDescent="0.3">
      <c r="A16" s="650"/>
      <c r="C16" s="259"/>
    </row>
    <row r="17" spans="1:10" x14ac:dyDescent="0.3">
      <c r="A17" s="651"/>
      <c r="B17" s="251" t="s">
        <v>418</v>
      </c>
      <c r="C17" s="259">
        <v>0</v>
      </c>
      <c r="D17" s="259">
        <f>C23</f>
        <v>51000</v>
      </c>
      <c r="E17" s="324">
        <f t="shared" ref="E17:H17" si="1">D23</f>
        <v>36000</v>
      </c>
      <c r="F17" s="324">
        <f t="shared" si="1"/>
        <v>21000</v>
      </c>
      <c r="G17" s="324">
        <f t="shared" si="1"/>
        <v>6000</v>
      </c>
      <c r="H17" s="324">
        <f t="shared" si="1"/>
        <v>-9000</v>
      </c>
    </row>
    <row r="18" spans="1:10" x14ac:dyDescent="0.3">
      <c r="B18" s="251" t="s">
        <v>281</v>
      </c>
      <c r="C18" s="324">
        <v>10000</v>
      </c>
      <c r="D18" s="324">
        <v>10000</v>
      </c>
      <c r="E18" s="324">
        <v>10000</v>
      </c>
      <c r="F18" s="259">
        <f t="shared" ref="F18:H18" si="2">E18</f>
        <v>10000</v>
      </c>
      <c r="G18" s="259">
        <f t="shared" si="2"/>
        <v>10000</v>
      </c>
      <c r="H18" s="324">
        <f t="shared" si="2"/>
        <v>10000</v>
      </c>
      <c r="I18" s="641" t="s">
        <v>387</v>
      </c>
      <c r="J18" s="642"/>
    </row>
    <row r="19" spans="1:10" x14ac:dyDescent="0.3">
      <c r="B19" s="251" t="s">
        <v>219</v>
      </c>
      <c r="C19" s="259">
        <v>0</v>
      </c>
      <c r="D19" s="259">
        <v>0</v>
      </c>
      <c r="E19" s="259">
        <v>0</v>
      </c>
      <c r="F19" s="259">
        <v>0</v>
      </c>
      <c r="G19" s="259">
        <v>0</v>
      </c>
      <c r="H19" s="259">
        <v>0</v>
      </c>
      <c r="I19" s="643"/>
      <c r="J19" s="644"/>
    </row>
    <row r="20" spans="1:10" x14ac:dyDescent="0.3">
      <c r="B20" s="251" t="s">
        <v>84</v>
      </c>
      <c r="C20" s="324">
        <v>41000</v>
      </c>
      <c r="D20" s="324">
        <v>25000</v>
      </c>
      <c r="E20" s="324">
        <v>25000</v>
      </c>
      <c r="F20" s="324">
        <v>25000</v>
      </c>
      <c r="G20" s="324">
        <v>25000</v>
      </c>
      <c r="H20" s="324">
        <v>25000</v>
      </c>
      <c r="I20" s="645"/>
      <c r="J20" s="646"/>
    </row>
    <row r="21" spans="1:10" x14ac:dyDescent="0.3">
      <c r="B21" s="251" t="s">
        <v>189</v>
      </c>
      <c r="C21" s="259">
        <v>0</v>
      </c>
      <c r="D21" s="259">
        <v>0</v>
      </c>
      <c r="E21" s="259">
        <v>0</v>
      </c>
      <c r="F21" s="259">
        <v>0</v>
      </c>
      <c r="G21" s="259">
        <v>0</v>
      </c>
      <c r="H21" s="259">
        <v>0</v>
      </c>
    </row>
    <row r="22" spans="1:10" ht="15.6" x14ac:dyDescent="0.45">
      <c r="B22" s="251" t="s">
        <v>36</v>
      </c>
      <c r="C22" s="260">
        <f>-C13</f>
        <v>0</v>
      </c>
      <c r="D22" s="325">
        <f t="shared" ref="D22:H22" si="3">-D13</f>
        <v>-50000</v>
      </c>
      <c r="E22" s="325">
        <f t="shared" si="3"/>
        <v>-50000</v>
      </c>
      <c r="F22" s="325">
        <f t="shared" si="3"/>
        <v>-50000</v>
      </c>
      <c r="G22" s="325">
        <f t="shared" si="3"/>
        <v>-50000</v>
      </c>
      <c r="H22" s="325">
        <f t="shared" si="3"/>
        <v>-50000</v>
      </c>
    </row>
    <row r="23" spans="1:10" ht="15.6" x14ac:dyDescent="0.45">
      <c r="B23" s="65" t="s">
        <v>37</v>
      </c>
      <c r="C23" s="261">
        <f>SUM(C17:C22)</f>
        <v>51000</v>
      </c>
      <c r="D23" s="261">
        <f>SUM(D17:D22)</f>
        <v>36000</v>
      </c>
      <c r="E23" s="261">
        <f t="shared" ref="E23:H23" si="4">SUM(E17:E22)</f>
        <v>21000</v>
      </c>
      <c r="F23" s="261">
        <f t="shared" si="4"/>
        <v>6000</v>
      </c>
      <c r="G23" s="261">
        <f t="shared" si="4"/>
        <v>-9000</v>
      </c>
      <c r="H23" s="261">
        <f t="shared" si="4"/>
        <v>-24000</v>
      </c>
    </row>
    <row r="26" spans="1:10" s="259" customFormat="1" x14ac:dyDescent="0.3"/>
    <row r="27" spans="1:10" s="259" customFormat="1" x14ac:dyDescent="0.3"/>
    <row r="28" spans="1:10" s="259" customFormat="1" x14ac:dyDescent="0.3"/>
    <row r="29" spans="1:10" s="259" customFormat="1" x14ac:dyDescent="0.3"/>
    <row r="30" spans="1:10" s="259" customFormat="1" x14ac:dyDescent="0.3"/>
    <row r="31" spans="1:10" s="259" customFormat="1" x14ac:dyDescent="0.3"/>
    <row r="32" spans="1:10" s="259" customFormat="1" x14ac:dyDescent="0.3"/>
    <row r="33" s="259" customFormat="1" x14ac:dyDescent="0.3"/>
    <row r="34" s="259" customFormat="1" x14ac:dyDescent="0.3"/>
    <row r="35" s="259" customFormat="1" x14ac:dyDescent="0.3"/>
    <row r="36" s="259" customFormat="1" x14ac:dyDescent="0.3"/>
    <row r="37" s="259" customFormat="1" x14ac:dyDescent="0.3"/>
    <row r="38" s="259" customFormat="1" x14ac:dyDescent="0.3"/>
    <row r="39" s="259" customFormat="1" x14ac:dyDescent="0.3"/>
    <row r="40" s="259" customFormat="1" x14ac:dyDescent="0.3"/>
    <row r="41" s="259" customFormat="1" x14ac:dyDescent="0.3"/>
    <row r="42" s="259" customFormat="1" x14ac:dyDescent="0.3"/>
    <row r="43" s="259" customFormat="1" x14ac:dyDescent="0.3"/>
    <row r="44" s="259" customFormat="1" x14ac:dyDescent="0.3"/>
    <row r="45" s="259" customFormat="1" x14ac:dyDescent="0.3"/>
  </sheetData>
  <mergeCells count="4">
    <mergeCell ref="I4:J4"/>
    <mergeCell ref="I18:J20"/>
    <mergeCell ref="I7:I8"/>
    <mergeCell ref="A14:A17"/>
  </mergeCells>
  <pageMargins left="0.7" right="0.7" top="0.75" bottom="0.75" header="0.3" footer="0.3"/>
  <pageSetup scale="98" orientation="landscape" r:id="rId1"/>
  <headerFooter>
    <oddHeader>&amp;C&amp;"-,Bold"&amp;12CIP DEPARTMENT INFORMATION REQUEST FORM
DEPARTMENT: SIDEWALKS</oddHeader>
    <oddFooter>&amp;L&amp;A&amp;RPage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view="pageBreakPreview" zoomScaleNormal="100" zoomScaleSheetLayoutView="100" workbookViewId="0">
      <selection activeCell="C14" sqref="C14"/>
    </sheetView>
  </sheetViews>
  <sheetFormatPr defaultRowHeight="13.8" x14ac:dyDescent="0.3"/>
  <cols>
    <col min="1" max="1" width="22.33203125" customWidth="1"/>
    <col min="2" max="2" width="22.44140625" customWidth="1"/>
    <col min="3" max="3" width="10.5546875" customWidth="1"/>
    <col min="4" max="4" width="10.88671875" bestFit="1" customWidth="1"/>
    <col min="5" max="5" width="10.33203125" customWidth="1"/>
    <col min="6" max="6" width="9.88671875" customWidth="1"/>
    <col min="7" max="7" width="9.44140625" bestFit="1" customWidth="1"/>
    <col min="8" max="8" width="11.88671875" bestFit="1" customWidth="1"/>
    <col min="9" max="9" width="14.88671875" customWidth="1"/>
    <col min="10" max="10" width="12.44140625" customWidth="1"/>
  </cols>
  <sheetData>
    <row r="1" spans="1:10" ht="20.25" customHeight="1" x14ac:dyDescent="0.3">
      <c r="A1" s="252" t="s">
        <v>716</v>
      </c>
      <c r="I1" s="247"/>
      <c r="J1" s="248"/>
    </row>
    <row r="2" spans="1:10" x14ac:dyDescent="0.3">
      <c r="A2" s="252" t="s">
        <v>267</v>
      </c>
    </row>
    <row r="3" spans="1:10" x14ac:dyDescent="0.3">
      <c r="A3" s="252" t="s">
        <v>268</v>
      </c>
    </row>
    <row r="4" spans="1:10" s="24" customFormat="1" x14ac:dyDescent="0.3">
      <c r="A4" s="264" t="s">
        <v>269</v>
      </c>
      <c r="I4" s="623" t="s">
        <v>412</v>
      </c>
      <c r="J4" s="624"/>
    </row>
    <row r="5" spans="1:10" s="24" customFormat="1" x14ac:dyDescent="0.3">
      <c r="A5" s="21" t="s">
        <v>3</v>
      </c>
      <c r="B5" s="21" t="s">
        <v>4</v>
      </c>
      <c r="C5" s="22">
        <v>2021</v>
      </c>
      <c r="D5" s="22">
        <f>C5+1</f>
        <v>2022</v>
      </c>
      <c r="E5" s="22">
        <f>D5+1</f>
        <v>2023</v>
      </c>
      <c r="F5" s="22">
        <f>E5+1</f>
        <v>2024</v>
      </c>
      <c r="G5" s="22">
        <f>F5+1</f>
        <v>2025</v>
      </c>
      <c r="H5" s="22">
        <f>G5+1</f>
        <v>2026</v>
      </c>
      <c r="I5" s="21" t="s">
        <v>3</v>
      </c>
      <c r="J5" s="21" t="s">
        <v>2</v>
      </c>
    </row>
    <row r="6" spans="1:10" s="24" customFormat="1" ht="24" customHeight="1" x14ac:dyDescent="0.3">
      <c r="A6" s="273" t="s">
        <v>240</v>
      </c>
      <c r="B6" s="168" t="s">
        <v>298</v>
      </c>
      <c r="C6" s="302">
        <v>35000</v>
      </c>
      <c r="D6" s="302"/>
      <c r="E6" s="61"/>
      <c r="F6" s="302"/>
      <c r="G6" s="302"/>
      <c r="H6" s="302"/>
      <c r="I6" s="200"/>
      <c r="J6" s="200"/>
    </row>
    <row r="7" spans="1:10" ht="33.75" customHeight="1" x14ac:dyDescent="0.3">
      <c r="A7" s="301" t="s">
        <v>240</v>
      </c>
      <c r="B7" s="168" t="s">
        <v>299</v>
      </c>
      <c r="C7" s="302"/>
      <c r="D7" s="302">
        <v>200000</v>
      </c>
      <c r="F7" s="302"/>
      <c r="G7" s="302"/>
      <c r="H7" s="302"/>
      <c r="I7" s="398" t="s">
        <v>349</v>
      </c>
      <c r="J7" s="17"/>
    </row>
    <row r="8" spans="1:10" s="13" customFormat="1" ht="124.2" x14ac:dyDescent="0.35">
      <c r="A8" s="146" t="s">
        <v>68</v>
      </c>
      <c r="B8" s="147" t="s">
        <v>241</v>
      </c>
      <c r="C8" s="302"/>
      <c r="D8" s="88"/>
      <c r="E8" s="61"/>
      <c r="F8" s="88"/>
      <c r="G8" s="88"/>
      <c r="H8" s="88"/>
      <c r="I8" s="302">
        <v>150000</v>
      </c>
      <c r="J8" s="17"/>
    </row>
    <row r="9" spans="1:10" s="13" customFormat="1" ht="18" x14ac:dyDescent="0.35">
      <c r="A9" s="29"/>
      <c r="B9" s="20"/>
      <c r="C9" s="302"/>
      <c r="D9" s="19"/>
      <c r="E9" s="18"/>
      <c r="F9" s="17"/>
      <c r="G9" s="17"/>
      <c r="H9" s="17"/>
      <c r="I9" s="17"/>
      <c r="J9" s="17"/>
    </row>
    <row r="10" spans="1:10" s="13" customFormat="1" ht="18" x14ac:dyDescent="0.35">
      <c r="A10" s="29"/>
      <c r="B10" s="20"/>
      <c r="C10" s="302"/>
      <c r="D10" s="19"/>
      <c r="E10" s="18"/>
      <c r="F10" s="17"/>
      <c r="G10" s="17"/>
      <c r="H10" s="17"/>
      <c r="I10" s="62" t="s">
        <v>9</v>
      </c>
      <c r="J10" s="17"/>
    </row>
    <row r="11" spans="1:10" ht="28.5" customHeight="1" thickBot="1" x14ac:dyDescent="0.35">
      <c r="A11" s="12"/>
      <c r="B11" s="11" t="s">
        <v>0</v>
      </c>
      <c r="C11" s="10">
        <f>SUM(C6:C10)</f>
        <v>35000</v>
      </c>
      <c r="D11" s="10">
        <f t="shared" ref="D11:H11" si="0">SUM(D6:D10)</f>
        <v>200000</v>
      </c>
      <c r="E11" s="10">
        <f>SUM(E6:E10)</f>
        <v>0</v>
      </c>
      <c r="F11" s="10">
        <f t="shared" si="0"/>
        <v>0</v>
      </c>
      <c r="G11" s="10">
        <f t="shared" si="0"/>
        <v>0</v>
      </c>
      <c r="H11" s="10">
        <f t="shared" si="0"/>
        <v>0</v>
      </c>
      <c r="I11" s="10">
        <f>SUM(C11:H11)</f>
        <v>235000</v>
      </c>
      <c r="J11" s="10">
        <f>SUM(J7:J10)</f>
        <v>0</v>
      </c>
    </row>
    <row r="12" spans="1:10" ht="14.4" thickTop="1" x14ac:dyDescent="0.3">
      <c r="H12" s="102"/>
      <c r="I12" s="4"/>
      <c r="J12" s="4"/>
    </row>
    <row r="13" spans="1:10" x14ac:dyDescent="0.3">
      <c r="B13" t="s">
        <v>411</v>
      </c>
      <c r="C13" s="17">
        <v>10000</v>
      </c>
      <c r="I13" s="4"/>
      <c r="J13" s="4"/>
    </row>
    <row r="14" spans="1:10" x14ac:dyDescent="0.3">
      <c r="I14" s="4"/>
      <c r="J14" s="4"/>
    </row>
    <row r="15" spans="1:10" x14ac:dyDescent="0.3">
      <c r="B15" s="109" t="s">
        <v>660</v>
      </c>
      <c r="C15" s="138">
        <v>158000</v>
      </c>
      <c r="D15" s="4">
        <f>C21</f>
        <v>133000</v>
      </c>
      <c r="E15" s="4">
        <f t="shared" ref="E15:H15" si="1">D21</f>
        <v>8000</v>
      </c>
      <c r="F15" s="4">
        <f t="shared" si="1"/>
        <v>18000</v>
      </c>
      <c r="G15" s="4">
        <f t="shared" si="1"/>
        <v>28000</v>
      </c>
      <c r="H15" s="4">
        <f t="shared" si="1"/>
        <v>38000</v>
      </c>
    </row>
    <row r="16" spans="1:10" x14ac:dyDescent="0.3">
      <c r="B16" s="65" t="s">
        <v>281</v>
      </c>
      <c r="C16" s="4">
        <v>10000</v>
      </c>
      <c r="D16" s="4">
        <f>C16</f>
        <v>10000</v>
      </c>
      <c r="E16" s="4">
        <f t="shared" ref="E16:H16" si="2">D16</f>
        <v>10000</v>
      </c>
      <c r="F16" s="4">
        <f t="shared" si="2"/>
        <v>10000</v>
      </c>
      <c r="G16" s="4">
        <f t="shared" si="2"/>
        <v>10000</v>
      </c>
      <c r="H16" s="4">
        <f t="shared" si="2"/>
        <v>10000</v>
      </c>
    </row>
    <row r="17" spans="2:9" s="102" customFormat="1" x14ac:dyDescent="0.3">
      <c r="B17" s="65" t="s">
        <v>69</v>
      </c>
      <c r="C17" s="4">
        <v>0</v>
      </c>
      <c r="D17" s="4">
        <v>0</v>
      </c>
      <c r="E17" s="324">
        <v>0</v>
      </c>
      <c r="F17" s="4">
        <v>0</v>
      </c>
      <c r="G17" s="4">
        <v>0</v>
      </c>
      <c r="H17" s="4">
        <v>0</v>
      </c>
    </row>
    <row r="18" spans="2:9" s="319" customFormat="1" x14ac:dyDescent="0.3">
      <c r="B18" s="65" t="s">
        <v>377</v>
      </c>
      <c r="C18" s="324">
        <v>0</v>
      </c>
      <c r="D18" s="324">
        <v>65000</v>
      </c>
      <c r="E18" s="324">
        <v>0</v>
      </c>
      <c r="F18" s="324">
        <v>0</v>
      </c>
      <c r="G18" s="324">
        <v>0</v>
      </c>
      <c r="H18" s="324">
        <v>0</v>
      </c>
    </row>
    <row r="19" spans="2:9" x14ac:dyDescent="0.3">
      <c r="B19" s="65" t="s">
        <v>48</v>
      </c>
      <c r="C19" s="4">
        <v>0</v>
      </c>
      <c r="D19" s="4">
        <v>0</v>
      </c>
      <c r="E19" s="324">
        <v>0</v>
      </c>
      <c r="F19" s="4">
        <v>0</v>
      </c>
      <c r="G19" s="4">
        <v>0</v>
      </c>
      <c r="H19" s="4">
        <v>0</v>
      </c>
      <c r="I19" t="s">
        <v>697</v>
      </c>
    </row>
    <row r="20" spans="2:9" ht="15.6" x14ac:dyDescent="0.45">
      <c r="B20" s="65" t="s">
        <v>36</v>
      </c>
      <c r="C20" s="56">
        <f t="shared" ref="C20:H20" si="3">-C11</f>
        <v>-35000</v>
      </c>
      <c r="D20" s="56">
        <f t="shared" si="3"/>
        <v>-200000</v>
      </c>
      <c r="E20" s="56">
        <f t="shared" si="3"/>
        <v>0</v>
      </c>
      <c r="F20" s="56">
        <f t="shared" si="3"/>
        <v>0</v>
      </c>
      <c r="G20" s="56">
        <f t="shared" si="3"/>
        <v>0</v>
      </c>
      <c r="H20" s="56">
        <f t="shared" si="3"/>
        <v>0</v>
      </c>
    </row>
    <row r="21" spans="2:9" ht="15.6" x14ac:dyDescent="0.45">
      <c r="B21" s="79" t="s">
        <v>37</v>
      </c>
      <c r="C21" s="63">
        <f>SUM(C15:C20)</f>
        <v>133000</v>
      </c>
      <c r="D21" s="64">
        <f t="shared" ref="D21:H21" si="4">SUM(D15:D20)</f>
        <v>8000</v>
      </c>
      <c r="E21" s="64">
        <f t="shared" si="4"/>
        <v>18000</v>
      </c>
      <c r="F21" s="64">
        <f t="shared" si="4"/>
        <v>28000</v>
      </c>
      <c r="G21" s="64">
        <f t="shared" si="4"/>
        <v>38000</v>
      </c>
      <c r="H21" s="64">
        <f t="shared" si="4"/>
        <v>48000</v>
      </c>
    </row>
    <row r="28" spans="2:9" x14ac:dyDescent="0.3">
      <c r="C28" s="114" t="s">
        <v>121</v>
      </c>
      <c r="D28" s="115" t="e">
        <f>#REF!</f>
        <v>#REF!</v>
      </c>
    </row>
    <row r="29" spans="2:9" x14ac:dyDescent="0.3">
      <c r="C29" s="116" t="s">
        <v>59</v>
      </c>
      <c r="D29" s="117">
        <v>3.5000000000000003E-2</v>
      </c>
    </row>
    <row r="30" spans="2:9" x14ac:dyDescent="0.3">
      <c r="C30" s="116" t="s">
        <v>122</v>
      </c>
      <c r="D30" s="118">
        <v>10</v>
      </c>
    </row>
    <row r="31" spans="2:9" x14ac:dyDescent="0.3">
      <c r="C31" s="119" t="s">
        <v>123</v>
      </c>
      <c r="D31" s="34" t="e">
        <f>-PMT(D29,D30,D28)</f>
        <v>#REF!</v>
      </c>
    </row>
  </sheetData>
  <mergeCells count="1">
    <mergeCell ref="I4:J4"/>
  </mergeCells>
  <pageMargins left="0.7" right="0.7" top="0.75" bottom="0.75" header="0.3" footer="0.3"/>
  <pageSetup orientation="landscape" r:id="rId1"/>
  <headerFooter>
    <oddHeader>&amp;C&amp;"-,Bold"&amp;12CIP DEPARTMENT INFORMATION REQUEST FORM
DEPARTMENT:  TOWN DAMS</oddHeader>
    <oddFooter>&amp;L&amp;A&amp;RPage &amp;P of &amp;N</oddFooter>
  </headerFooter>
  <rowBreaks count="1" manualBreakCount="1">
    <brk id="27"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view="pageBreakPreview" zoomScaleNormal="100" zoomScaleSheetLayoutView="100" workbookViewId="0">
      <selection activeCell="E19" sqref="E19"/>
    </sheetView>
  </sheetViews>
  <sheetFormatPr defaultRowHeight="13.8" x14ac:dyDescent="0.3"/>
  <cols>
    <col min="1" max="1" width="24.5546875" customWidth="1"/>
    <col min="2" max="2" width="24.6640625" customWidth="1"/>
    <col min="3" max="3" width="10.5546875" customWidth="1"/>
    <col min="4" max="4" width="10.88671875" bestFit="1" customWidth="1"/>
    <col min="5" max="5" width="9.44140625" customWidth="1"/>
    <col min="6" max="6" width="10.109375" customWidth="1"/>
    <col min="7" max="7" width="9.44140625" customWidth="1"/>
    <col min="8" max="8" width="10.109375" customWidth="1"/>
    <col min="9" max="9" width="12.88671875" customWidth="1"/>
    <col min="10" max="10" width="14.109375" customWidth="1"/>
  </cols>
  <sheetData>
    <row r="1" spans="1:12" ht="20.25" customHeight="1" x14ac:dyDescent="0.3">
      <c r="A1" s="252" t="s">
        <v>716</v>
      </c>
      <c r="I1" s="247"/>
      <c r="J1" s="248"/>
    </row>
    <row r="2" spans="1:12" x14ac:dyDescent="0.3">
      <c r="A2" s="252" t="s">
        <v>267</v>
      </c>
    </row>
    <row r="3" spans="1:12" x14ac:dyDescent="0.3">
      <c r="A3" s="252" t="s">
        <v>268</v>
      </c>
    </row>
    <row r="4" spans="1:12" s="24" customFormat="1" x14ac:dyDescent="0.3">
      <c r="A4" s="264" t="s">
        <v>269</v>
      </c>
      <c r="I4" s="623" t="s">
        <v>412</v>
      </c>
      <c r="J4" s="624"/>
    </row>
    <row r="5" spans="1:12" s="24" customFormat="1" x14ac:dyDescent="0.3">
      <c r="A5" s="21" t="s">
        <v>3</v>
      </c>
      <c r="B5" s="21" t="s">
        <v>4</v>
      </c>
      <c r="C5" s="22">
        <v>2021</v>
      </c>
      <c r="D5" s="22">
        <f>C5+1</f>
        <v>2022</v>
      </c>
      <c r="E5" s="22">
        <f>D5+1</f>
        <v>2023</v>
      </c>
      <c r="F5" s="22">
        <f>E5+1</f>
        <v>2024</v>
      </c>
      <c r="G5" s="22">
        <f>F5+1</f>
        <v>2025</v>
      </c>
      <c r="H5" s="22">
        <f>G5+1</f>
        <v>2026</v>
      </c>
      <c r="I5" s="21" t="s">
        <v>3</v>
      </c>
      <c r="J5" s="21" t="s">
        <v>2</v>
      </c>
    </row>
    <row r="6" spans="1:12" s="13" customFormat="1" ht="18" x14ac:dyDescent="0.35">
      <c r="A6" s="282" t="s">
        <v>164</v>
      </c>
      <c r="B6" s="282" t="s">
        <v>258</v>
      </c>
      <c r="C6" s="236"/>
      <c r="D6" s="236"/>
      <c r="E6" s="298"/>
      <c r="F6" s="302">
        <v>225000</v>
      </c>
      <c r="G6" s="298"/>
      <c r="H6" s="294"/>
      <c r="I6" s="294"/>
      <c r="J6" s="286"/>
    </row>
    <row r="7" spans="1:12" s="13" customFormat="1" ht="55.2" x14ac:dyDescent="0.35">
      <c r="A7" s="282" t="s">
        <v>166</v>
      </c>
      <c r="B7" s="282" t="s">
        <v>228</v>
      </c>
      <c r="C7" s="302"/>
      <c r="D7" s="302"/>
      <c r="E7" s="302"/>
      <c r="F7" s="302"/>
      <c r="G7" s="302">
        <v>150000</v>
      </c>
      <c r="H7" s="302"/>
      <c r="I7" s="294"/>
      <c r="J7" s="286"/>
      <c r="K7" s="190" t="s">
        <v>230</v>
      </c>
      <c r="L7" s="178"/>
    </row>
    <row r="8" spans="1:12" s="148" customFormat="1" ht="69" x14ac:dyDescent="0.35">
      <c r="A8" s="282" t="s">
        <v>167</v>
      </c>
      <c r="B8" s="168" t="s">
        <v>300</v>
      </c>
      <c r="C8" s="302"/>
      <c r="D8" s="302"/>
      <c r="E8" s="302"/>
      <c r="F8" s="302"/>
      <c r="G8" s="302"/>
      <c r="H8" s="302">
        <v>150000</v>
      </c>
      <c r="I8" s="294"/>
      <c r="J8" s="298"/>
      <c r="K8" s="190" t="s">
        <v>231</v>
      </c>
    </row>
    <row r="9" spans="1:12" s="283" customFormat="1" ht="18" x14ac:dyDescent="0.35">
      <c r="A9" s="282" t="s">
        <v>43</v>
      </c>
      <c r="B9" s="282" t="s">
        <v>44</v>
      </c>
      <c r="C9" s="300"/>
      <c r="D9" s="298"/>
      <c r="E9" s="294"/>
      <c r="F9" s="298"/>
      <c r="G9" s="298"/>
      <c r="H9" s="294"/>
      <c r="I9" s="294"/>
      <c r="J9" s="298">
        <v>30000</v>
      </c>
      <c r="K9" s="314"/>
    </row>
    <row r="10" spans="1:12" s="13" customFormat="1" ht="18" x14ac:dyDescent="0.35">
      <c r="A10" s="29"/>
      <c r="B10" s="220" t="s">
        <v>229</v>
      </c>
      <c r="C10" s="18"/>
      <c r="D10" s="19"/>
      <c r="E10" s="18"/>
      <c r="F10" s="17"/>
      <c r="G10" s="17"/>
      <c r="H10" s="17"/>
      <c r="I10" s="62" t="s">
        <v>9</v>
      </c>
      <c r="J10" s="17"/>
      <c r="K10" s="178"/>
    </row>
    <row r="11" spans="1:12" ht="28.5" customHeight="1" thickBot="1" x14ac:dyDescent="0.35">
      <c r="A11" s="12"/>
      <c r="B11" s="11" t="s">
        <v>0</v>
      </c>
      <c r="C11" s="10">
        <f t="shared" ref="C11:H11" si="0">SUM(C6:C10)</f>
        <v>0</v>
      </c>
      <c r="D11" s="10">
        <f>SUM(D6:D10)</f>
        <v>0</v>
      </c>
      <c r="E11" s="10">
        <f t="shared" si="0"/>
        <v>0</v>
      </c>
      <c r="F11" s="10">
        <f>SUM(F6:F10)</f>
        <v>225000</v>
      </c>
      <c r="G11" s="10">
        <f t="shared" si="0"/>
        <v>150000</v>
      </c>
      <c r="H11" s="10">
        <f t="shared" si="0"/>
        <v>150000</v>
      </c>
      <c r="I11" s="10">
        <f>SUM(C11:H11)</f>
        <v>525000</v>
      </c>
      <c r="J11" s="10">
        <f>SUM(J6:J10)</f>
        <v>30000</v>
      </c>
    </row>
    <row r="12" spans="1:12" ht="14.4" thickTop="1" x14ac:dyDescent="0.3">
      <c r="A12" s="103" t="s">
        <v>323</v>
      </c>
      <c r="I12" s="324">
        <v>6</v>
      </c>
      <c r="J12" s="4" t="s">
        <v>112</v>
      </c>
    </row>
    <row r="13" spans="1:12" x14ac:dyDescent="0.3">
      <c r="I13" s="17">
        <f>I11/I12</f>
        <v>87500</v>
      </c>
    </row>
    <row r="14" spans="1:12" x14ac:dyDescent="0.3">
      <c r="B14" t="s">
        <v>411</v>
      </c>
      <c r="C14" s="17">
        <v>40000</v>
      </c>
      <c r="J14" s="4"/>
    </row>
    <row r="15" spans="1:12" x14ac:dyDescent="0.3">
      <c r="I15" s="4"/>
      <c r="J15" s="4"/>
    </row>
    <row r="16" spans="1:12" x14ac:dyDescent="0.3">
      <c r="B16" s="109" t="s">
        <v>644</v>
      </c>
      <c r="C16" s="137">
        <v>104000</v>
      </c>
      <c r="D16" s="4">
        <f>C22</f>
        <v>120000</v>
      </c>
      <c r="E16" s="4">
        <f t="shared" ref="E16:H16" si="1">D22</f>
        <v>160000</v>
      </c>
      <c r="F16" s="4">
        <f t="shared" si="1"/>
        <v>210000</v>
      </c>
      <c r="G16" s="4">
        <f t="shared" si="1"/>
        <v>35000</v>
      </c>
      <c r="H16" s="4">
        <f t="shared" si="1"/>
        <v>-15000</v>
      </c>
    </row>
    <row r="17" spans="2:9" s="326" customFormat="1" x14ac:dyDescent="0.3">
      <c r="B17" s="99" t="s">
        <v>743</v>
      </c>
      <c r="C17" s="324">
        <v>-24000</v>
      </c>
      <c r="D17" s="324">
        <v>0</v>
      </c>
      <c r="E17" s="324">
        <v>0</v>
      </c>
      <c r="F17" s="324">
        <v>0</v>
      </c>
      <c r="G17" s="324">
        <v>0</v>
      </c>
      <c r="H17" s="324">
        <v>0</v>
      </c>
      <c r="I17" s="326" t="s">
        <v>745</v>
      </c>
    </row>
    <row r="18" spans="2:9" s="326" customFormat="1" x14ac:dyDescent="0.3">
      <c r="B18" s="99" t="s">
        <v>281</v>
      </c>
      <c r="C18" s="70">
        <v>40000</v>
      </c>
      <c r="D18" s="70">
        <f>C18</f>
        <v>40000</v>
      </c>
      <c r="E18" s="70">
        <v>50000</v>
      </c>
      <c r="F18" s="70">
        <f t="shared" ref="F18:G18" si="2">E18</f>
        <v>50000</v>
      </c>
      <c r="G18" s="70">
        <f t="shared" si="2"/>
        <v>50000</v>
      </c>
      <c r="H18" s="70">
        <f t="shared" ref="H18" si="3">G18</f>
        <v>50000</v>
      </c>
    </row>
    <row r="19" spans="2:9" s="326" customFormat="1" x14ac:dyDescent="0.3">
      <c r="B19" s="99" t="s">
        <v>84</v>
      </c>
      <c r="C19" s="70">
        <v>0</v>
      </c>
      <c r="D19" s="70">
        <v>0</v>
      </c>
      <c r="E19" s="70">
        <v>0</v>
      </c>
      <c r="F19" s="70">
        <v>0</v>
      </c>
      <c r="G19" s="70">
        <v>50000</v>
      </c>
      <c r="H19" s="70">
        <v>50000</v>
      </c>
    </row>
    <row r="20" spans="2:9" s="326" customFormat="1" x14ac:dyDescent="0.3">
      <c r="B20" s="99" t="s">
        <v>48</v>
      </c>
      <c r="C20" s="70">
        <v>0</v>
      </c>
      <c r="D20" s="70">
        <v>0</v>
      </c>
      <c r="E20" s="70">
        <v>0</v>
      </c>
      <c r="F20" s="70">
        <v>0</v>
      </c>
      <c r="G20" s="70">
        <v>0</v>
      </c>
      <c r="H20" s="70">
        <v>0</v>
      </c>
    </row>
    <row r="21" spans="2:9" ht="15.6" x14ac:dyDescent="0.45">
      <c r="B21" s="65" t="s">
        <v>36</v>
      </c>
      <c r="C21" s="71">
        <f t="shared" ref="C21:H21" si="4">-C11</f>
        <v>0</v>
      </c>
      <c r="D21" s="71">
        <f t="shared" si="4"/>
        <v>0</v>
      </c>
      <c r="E21" s="71">
        <f t="shared" si="4"/>
        <v>0</v>
      </c>
      <c r="F21" s="71">
        <f t="shared" si="4"/>
        <v>-225000</v>
      </c>
      <c r="G21" s="71">
        <f t="shared" si="4"/>
        <v>-150000</v>
      </c>
      <c r="H21" s="71">
        <f t="shared" si="4"/>
        <v>-150000</v>
      </c>
    </row>
    <row r="22" spans="2:9" ht="15.6" x14ac:dyDescent="0.45">
      <c r="B22" s="79" t="s">
        <v>37</v>
      </c>
      <c r="C22" s="64">
        <f>SUM(C16:C21)</f>
        <v>120000</v>
      </c>
      <c r="D22" s="64">
        <f t="shared" ref="D22:H22" si="5">SUM(D16:D21)</f>
        <v>160000</v>
      </c>
      <c r="E22" s="64">
        <f t="shared" si="5"/>
        <v>210000</v>
      </c>
      <c r="F22" s="64">
        <f t="shared" si="5"/>
        <v>35000</v>
      </c>
      <c r="G22" s="64">
        <f t="shared" si="5"/>
        <v>-15000</v>
      </c>
      <c r="H22" s="64">
        <f t="shared" si="5"/>
        <v>-65000</v>
      </c>
    </row>
    <row r="24" spans="2:9" x14ac:dyDescent="0.3">
      <c r="B24" s="65"/>
    </row>
  </sheetData>
  <mergeCells count="1">
    <mergeCell ref="I4:J4"/>
  </mergeCells>
  <pageMargins left="0.7" right="0.7" top="0.75" bottom="0.75" header="0.3" footer="0.3"/>
  <pageSetup orientation="landscape" r:id="rId1"/>
  <headerFooter>
    <oddHeader>&amp;C&amp;"-,Bold"&amp;12CIP DEPARTMENT INFORMATION REQUEST FORM
DEPARTMENT:   BRIDGES - OTHER THAN COVERED</oddHeader>
    <oddFooter>&amp;L&amp;A&amp;RPage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view="pageBreakPreview" zoomScaleNormal="100" zoomScaleSheetLayoutView="100" workbookViewId="0"/>
  </sheetViews>
  <sheetFormatPr defaultRowHeight="13.8" x14ac:dyDescent="0.3"/>
  <cols>
    <col min="1" max="1" width="22.33203125" customWidth="1"/>
    <col min="2" max="2" width="25.44140625" customWidth="1"/>
    <col min="3" max="3" width="10.5546875" customWidth="1"/>
    <col min="4" max="4" width="10.88671875" bestFit="1" customWidth="1"/>
    <col min="5" max="5" width="10.33203125" customWidth="1"/>
    <col min="6" max="6" width="9.88671875" customWidth="1"/>
    <col min="7" max="7" width="9.44140625" bestFit="1" customWidth="1"/>
    <col min="8" max="8" width="9.33203125" customWidth="1"/>
    <col min="9" max="9" width="14.88671875" customWidth="1"/>
    <col min="10" max="10" width="12.44140625" customWidth="1"/>
  </cols>
  <sheetData>
    <row r="1" spans="1:10" ht="20.25" customHeight="1" x14ac:dyDescent="0.3">
      <c r="A1" s="252" t="s">
        <v>716</v>
      </c>
      <c r="I1" s="247"/>
      <c r="J1" s="248"/>
    </row>
    <row r="2" spans="1:10" x14ac:dyDescent="0.3">
      <c r="A2" s="252" t="s">
        <v>267</v>
      </c>
    </row>
    <row r="3" spans="1:10" x14ac:dyDescent="0.3">
      <c r="A3" s="252" t="s">
        <v>268</v>
      </c>
    </row>
    <row r="4" spans="1:10" s="24" customFormat="1" x14ac:dyDescent="0.3">
      <c r="A4" s="264" t="s">
        <v>269</v>
      </c>
      <c r="I4" s="623" t="s">
        <v>412</v>
      </c>
      <c r="J4" s="624"/>
    </row>
    <row r="5" spans="1:10" s="24" customFormat="1" x14ac:dyDescent="0.3">
      <c r="A5" s="21" t="s">
        <v>3</v>
      </c>
      <c r="B5" s="21" t="s">
        <v>4</v>
      </c>
      <c r="C5" s="22">
        <v>2021</v>
      </c>
      <c r="D5" s="22">
        <f>C5+1</f>
        <v>2022</v>
      </c>
      <c r="E5" s="22">
        <f>D5+1</f>
        <v>2023</v>
      </c>
      <c r="F5" s="22">
        <f>E5+1</f>
        <v>2024</v>
      </c>
      <c r="G5" s="22">
        <f>F5+1</f>
        <v>2025</v>
      </c>
      <c r="H5" s="22">
        <f>G5+1</f>
        <v>2026</v>
      </c>
      <c r="I5" s="21" t="s">
        <v>3</v>
      </c>
      <c r="J5" s="21" t="s">
        <v>2</v>
      </c>
    </row>
    <row r="6" spans="1:10" ht="19.5" customHeight="1" x14ac:dyDescent="0.3">
      <c r="A6" s="28" t="s">
        <v>40</v>
      </c>
      <c r="B6" s="20" t="s">
        <v>41</v>
      </c>
      <c r="C6" s="17">
        <v>30000</v>
      </c>
      <c r="D6" s="19"/>
      <c r="E6" s="17"/>
      <c r="F6" s="17"/>
      <c r="G6" s="17"/>
      <c r="H6" s="17"/>
      <c r="I6" s="28"/>
      <c r="J6" s="17"/>
    </row>
    <row r="7" spans="1:10" s="13" customFormat="1" ht="18" x14ac:dyDescent="0.35">
      <c r="A7" s="29" t="s">
        <v>42</v>
      </c>
      <c r="B7" s="20" t="s">
        <v>44</v>
      </c>
      <c r="C7" s="18"/>
      <c r="D7" s="19">
        <v>20000</v>
      </c>
      <c r="E7" s="18"/>
      <c r="F7" s="17"/>
      <c r="G7" s="17"/>
      <c r="H7" s="17"/>
      <c r="I7" s="28"/>
      <c r="J7" s="17"/>
    </row>
    <row r="8" spans="1:10" s="13" customFormat="1" ht="18" x14ac:dyDescent="0.35">
      <c r="A8" s="29" t="s">
        <v>71</v>
      </c>
      <c r="B8" s="20" t="s">
        <v>44</v>
      </c>
      <c r="C8" s="18"/>
      <c r="D8" s="19"/>
      <c r="E8" s="18">
        <v>30000</v>
      </c>
      <c r="F8" s="17"/>
      <c r="G8" s="17"/>
      <c r="H8" s="17"/>
      <c r="I8" s="28"/>
      <c r="J8" s="17"/>
    </row>
    <row r="9" spans="1:10" s="13" customFormat="1" ht="18" x14ac:dyDescent="0.35">
      <c r="A9" s="29" t="s">
        <v>149</v>
      </c>
      <c r="B9" s="20" t="s">
        <v>44</v>
      </c>
      <c r="C9" s="18"/>
      <c r="D9" s="19"/>
      <c r="E9" s="18"/>
      <c r="F9" s="17"/>
      <c r="G9" s="17">
        <v>30000</v>
      </c>
      <c r="H9" s="17"/>
      <c r="I9" s="28"/>
      <c r="J9" s="17"/>
    </row>
    <row r="10" spans="1:10" s="13" customFormat="1" ht="18" x14ac:dyDescent="0.35">
      <c r="A10" s="29"/>
      <c r="B10" s="20"/>
      <c r="C10" s="18"/>
      <c r="D10" s="19"/>
      <c r="E10" s="18"/>
      <c r="F10" s="17"/>
      <c r="G10" s="17"/>
      <c r="H10" s="17"/>
      <c r="I10" s="28"/>
      <c r="J10" s="17"/>
    </row>
    <row r="11" spans="1:10" s="13" customFormat="1" ht="18" x14ac:dyDescent="0.35">
      <c r="A11" s="29"/>
      <c r="B11" s="20"/>
      <c r="C11" s="18"/>
      <c r="D11" s="19"/>
      <c r="E11" s="18"/>
      <c r="F11" s="17"/>
      <c r="G11" s="17"/>
      <c r="H11" s="17"/>
      <c r="I11" s="62" t="s">
        <v>9</v>
      </c>
      <c r="J11" s="17"/>
    </row>
    <row r="12" spans="1:10" ht="28.5" customHeight="1" thickBot="1" x14ac:dyDescent="0.35">
      <c r="A12" s="12"/>
      <c r="B12" s="11" t="s">
        <v>0</v>
      </c>
      <c r="C12" s="10">
        <f>SUM(C6:C11)</f>
        <v>30000</v>
      </c>
      <c r="D12" s="10">
        <f>SUM(D6:D11)</f>
        <v>20000</v>
      </c>
      <c r="E12" s="10">
        <f>SUM(E6:E11)</f>
        <v>30000</v>
      </c>
      <c r="F12" s="10">
        <f t="shared" ref="F12:G12" si="0">SUM(F6:F11)</f>
        <v>0</v>
      </c>
      <c r="G12" s="10">
        <f t="shared" si="0"/>
        <v>30000</v>
      </c>
      <c r="H12" s="10">
        <f>SUM(H6:H11)</f>
        <v>0</v>
      </c>
      <c r="I12" s="6">
        <f>SUM(C12:H12)</f>
        <v>110000</v>
      </c>
      <c r="J12" s="27">
        <f>SUM(J6:J11)</f>
        <v>0</v>
      </c>
    </row>
    <row r="13" spans="1:10" ht="14.4" thickTop="1" x14ac:dyDescent="0.3">
      <c r="I13" s="102">
        <v>6</v>
      </c>
      <c r="J13" s="4" t="s">
        <v>112</v>
      </c>
    </row>
    <row r="14" spans="1:10" x14ac:dyDescent="0.3">
      <c r="I14" s="17">
        <f>I12/I13</f>
        <v>18333.333333333332</v>
      </c>
      <c r="J14" s="102"/>
    </row>
    <row r="15" spans="1:10" x14ac:dyDescent="0.3">
      <c r="I15" s="4"/>
      <c r="J15" s="4"/>
    </row>
    <row r="16" spans="1:10" x14ac:dyDescent="0.3">
      <c r="B16" s="319" t="s">
        <v>411</v>
      </c>
      <c r="C16" s="17">
        <v>5000</v>
      </c>
      <c r="J16" s="4"/>
    </row>
    <row r="17" spans="2:10" x14ac:dyDescent="0.3">
      <c r="I17" s="4"/>
      <c r="J17" s="4"/>
    </row>
    <row r="18" spans="2:10" x14ac:dyDescent="0.3">
      <c r="B18" s="109" t="s">
        <v>644</v>
      </c>
      <c r="C18" s="137">
        <v>95000</v>
      </c>
      <c r="D18" s="4">
        <f>C21</f>
        <v>70000</v>
      </c>
      <c r="E18" s="4">
        <f t="shared" ref="E18:H18" si="1">D21</f>
        <v>55000</v>
      </c>
      <c r="F18" s="4">
        <f t="shared" si="1"/>
        <v>30000</v>
      </c>
      <c r="G18" s="4">
        <f t="shared" si="1"/>
        <v>35000</v>
      </c>
      <c r="H18" s="4">
        <f t="shared" si="1"/>
        <v>10000</v>
      </c>
    </row>
    <row r="19" spans="2:10" x14ac:dyDescent="0.3">
      <c r="B19" s="65" t="s">
        <v>281</v>
      </c>
      <c r="C19" s="4">
        <v>5000</v>
      </c>
      <c r="D19" s="4">
        <v>5000</v>
      </c>
      <c r="E19" s="4">
        <v>5000</v>
      </c>
      <c r="F19" s="4">
        <v>5000</v>
      </c>
      <c r="G19" s="4">
        <v>5000</v>
      </c>
      <c r="H19" s="4">
        <v>5000</v>
      </c>
    </row>
    <row r="20" spans="2:10" ht="15.6" x14ac:dyDescent="0.45">
      <c r="B20" s="65" t="s">
        <v>36</v>
      </c>
      <c r="C20" s="56">
        <f t="shared" ref="C20:H20" si="2">-C12</f>
        <v>-30000</v>
      </c>
      <c r="D20" s="56">
        <f t="shared" si="2"/>
        <v>-20000</v>
      </c>
      <c r="E20" s="56">
        <f t="shared" si="2"/>
        <v>-30000</v>
      </c>
      <c r="F20" s="56">
        <f t="shared" si="2"/>
        <v>0</v>
      </c>
      <c r="G20" s="56">
        <f t="shared" si="2"/>
        <v>-30000</v>
      </c>
      <c r="H20" s="56">
        <f t="shared" si="2"/>
        <v>0</v>
      </c>
    </row>
    <row r="21" spans="2:10" ht="15.6" x14ac:dyDescent="0.45">
      <c r="B21" s="79" t="s">
        <v>37</v>
      </c>
      <c r="C21" s="63">
        <f>SUM(C18:C20)</f>
        <v>70000</v>
      </c>
      <c r="D21" s="63">
        <f t="shared" ref="D21:H21" si="3">SUM(D18:D20)</f>
        <v>55000</v>
      </c>
      <c r="E21" s="63">
        <f t="shared" si="3"/>
        <v>30000</v>
      </c>
      <c r="F21" s="63">
        <f t="shared" si="3"/>
        <v>35000</v>
      </c>
      <c r="G21" s="63">
        <f t="shared" si="3"/>
        <v>10000</v>
      </c>
      <c r="H21" s="63">
        <f t="shared" si="3"/>
        <v>15000</v>
      </c>
    </row>
  </sheetData>
  <mergeCells count="1">
    <mergeCell ref="I4:J4"/>
  </mergeCells>
  <pageMargins left="0.7" right="0.7" top="0.75" bottom="0.75" header="0.3" footer="0.3"/>
  <pageSetup orientation="landscape" r:id="rId1"/>
  <headerFooter>
    <oddHeader>&amp;C&amp;"-,Bold"&amp;12CIP DEPARTMENT INFORMATION REQUEST FORM
DEPARTMENT:   COVERED BRIDGES</oddHeader>
    <oddFooter>&amp;L&amp;A&amp;RPage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view="pageBreakPreview" zoomScaleNormal="100" zoomScaleSheetLayoutView="100" workbookViewId="0"/>
  </sheetViews>
  <sheetFormatPr defaultRowHeight="13.8" x14ac:dyDescent="0.3"/>
  <cols>
    <col min="1" max="1" width="35.5546875" customWidth="1"/>
    <col min="2" max="2" width="25" customWidth="1"/>
    <col min="3" max="3" width="10" bestFit="1" customWidth="1"/>
    <col min="4" max="4" width="10.33203125" customWidth="1"/>
    <col min="7" max="7" width="10.33203125" customWidth="1"/>
    <col min="9" max="9" width="15.109375" customWidth="1"/>
    <col min="10" max="10" width="12.44140625" customWidth="1"/>
    <col min="12" max="12" width="22" customWidth="1"/>
    <col min="13" max="13" width="22.33203125" customWidth="1"/>
    <col min="14" max="14" width="20.33203125" customWidth="1"/>
    <col min="15" max="15" width="38" customWidth="1"/>
    <col min="16" max="19" width="11.44140625" style="326" customWidth="1"/>
    <col min="20" max="20" width="10.5546875" bestFit="1" customWidth="1"/>
  </cols>
  <sheetData>
    <row r="1" spans="1:21" ht="20.25" customHeight="1" x14ac:dyDescent="0.3">
      <c r="A1" s="252" t="s">
        <v>716</v>
      </c>
      <c r="I1" s="247"/>
      <c r="J1" s="248"/>
    </row>
    <row r="2" spans="1:21" x14ac:dyDescent="0.3">
      <c r="A2" s="252" t="s">
        <v>267</v>
      </c>
    </row>
    <row r="3" spans="1:21" x14ac:dyDescent="0.3">
      <c r="A3" s="252" t="s">
        <v>268</v>
      </c>
    </row>
    <row r="4" spans="1:21" s="24" customFormat="1" x14ac:dyDescent="0.3">
      <c r="A4" s="264" t="s">
        <v>269</v>
      </c>
      <c r="I4" s="623" t="s">
        <v>412</v>
      </c>
      <c r="J4" s="624"/>
      <c r="P4" s="321"/>
      <c r="Q4" s="321"/>
      <c r="R4" s="321"/>
      <c r="S4" s="321"/>
    </row>
    <row r="5" spans="1:21" s="24" customFormat="1" x14ac:dyDescent="0.3">
      <c r="A5" s="21" t="s">
        <v>3</v>
      </c>
      <c r="B5" s="21" t="s">
        <v>4</v>
      </c>
      <c r="C5" s="22">
        <v>2021</v>
      </c>
      <c r="D5" s="22">
        <f>C5+1</f>
        <v>2022</v>
      </c>
      <c r="E5" s="22">
        <f t="shared" ref="E5:H5" si="0">D5+1</f>
        <v>2023</v>
      </c>
      <c r="F5" s="22">
        <f t="shared" si="0"/>
        <v>2024</v>
      </c>
      <c r="G5" s="22">
        <f t="shared" si="0"/>
        <v>2025</v>
      </c>
      <c r="H5" s="22">
        <f t="shared" si="0"/>
        <v>2026</v>
      </c>
      <c r="I5" s="21" t="s">
        <v>3</v>
      </c>
      <c r="J5" s="21" t="s">
        <v>2</v>
      </c>
      <c r="P5" s="321"/>
      <c r="Q5" s="321"/>
      <c r="R5" s="321"/>
      <c r="S5" s="321"/>
    </row>
    <row r="6" spans="1:21" ht="29.25" customHeight="1" x14ac:dyDescent="0.3">
      <c r="A6" s="335" t="s">
        <v>138</v>
      </c>
      <c r="B6" s="97"/>
      <c r="C6" s="17"/>
      <c r="E6" s="17"/>
      <c r="F6" s="17"/>
      <c r="G6" s="17"/>
      <c r="H6" s="17"/>
      <c r="I6" s="17"/>
      <c r="J6" s="17">
        <v>0</v>
      </c>
    </row>
    <row r="7" spans="1:21" s="13" customFormat="1" ht="18" x14ac:dyDescent="0.35">
      <c r="A7" s="336" t="s">
        <v>148</v>
      </c>
      <c r="B7" s="97"/>
      <c r="C7" s="61">
        <v>20000</v>
      </c>
      <c r="D7" s="61"/>
      <c r="E7" s="15"/>
      <c r="F7" s="14"/>
      <c r="G7" s="14"/>
      <c r="H7" s="14"/>
      <c r="I7" s="14"/>
      <c r="J7" s="14"/>
      <c r="P7" s="326"/>
      <c r="Q7" s="326"/>
      <c r="R7" s="326"/>
      <c r="S7" s="326"/>
    </row>
    <row r="8" spans="1:21" s="13" customFormat="1" ht="31.5" customHeight="1" x14ac:dyDescent="0.35">
      <c r="A8" s="335" t="s">
        <v>608</v>
      </c>
      <c r="B8" s="97"/>
      <c r="C8" s="61"/>
      <c r="D8" s="61"/>
      <c r="E8" s="17"/>
      <c r="F8" s="35"/>
      <c r="G8" s="35"/>
      <c r="H8" s="548"/>
      <c r="I8" s="236"/>
      <c r="J8" s="35"/>
      <c r="P8" s="326"/>
      <c r="Q8" s="326"/>
      <c r="R8" s="326"/>
      <c r="S8" s="326"/>
    </row>
    <row r="9" spans="1:21" s="13" customFormat="1" ht="25.5" customHeight="1" x14ac:dyDescent="0.35">
      <c r="A9" s="530" t="s">
        <v>618</v>
      </c>
      <c r="B9" s="530" t="s">
        <v>76</v>
      </c>
      <c r="D9" s="541"/>
      <c r="E9" s="8"/>
      <c r="F9" s="523"/>
      <c r="G9" s="524"/>
      <c r="H9" s="525"/>
      <c r="I9" s="652" t="s">
        <v>663</v>
      </c>
      <c r="J9" s="556"/>
      <c r="P9" s="326"/>
      <c r="Q9" s="326"/>
      <c r="R9" s="326"/>
      <c r="S9" s="326"/>
    </row>
    <row r="10" spans="1:21" s="322" customFormat="1" ht="20.25" customHeight="1" x14ac:dyDescent="0.35">
      <c r="A10" s="531" t="s">
        <v>671</v>
      </c>
      <c r="B10" s="532" t="s">
        <v>606</v>
      </c>
      <c r="C10" s="522">
        <f>1950*8</f>
        <v>15600</v>
      </c>
      <c r="D10" s="522">
        <f t="shared" ref="D10:F10" si="1">1950*8</f>
        <v>15600</v>
      </c>
      <c r="E10" s="522">
        <f t="shared" si="1"/>
        <v>15600</v>
      </c>
      <c r="F10" s="522">
        <f t="shared" si="1"/>
        <v>15600</v>
      </c>
      <c r="G10" s="522"/>
      <c r="H10" s="85"/>
      <c r="I10" s="653"/>
      <c r="J10" s="207"/>
      <c r="L10" s="55"/>
      <c r="M10" s="550"/>
      <c r="N10" s="551" t="s">
        <v>645</v>
      </c>
      <c r="O10" s="552"/>
      <c r="P10" s="326" t="s">
        <v>646</v>
      </c>
      <c r="Q10" s="103" t="s">
        <v>647</v>
      </c>
      <c r="R10" s="326"/>
      <c r="S10" s="326"/>
      <c r="T10" s="326"/>
      <c r="U10" s="326"/>
    </row>
    <row r="11" spans="1:21" s="322" customFormat="1" ht="18" x14ac:dyDescent="0.35">
      <c r="A11" s="531" t="s">
        <v>670</v>
      </c>
      <c r="B11" s="532" t="s">
        <v>607</v>
      </c>
      <c r="C11" s="522">
        <f>3600*2</f>
        <v>7200</v>
      </c>
      <c r="D11" s="522">
        <f t="shared" ref="D11:E11" si="2">3600*2</f>
        <v>7200</v>
      </c>
      <c r="E11" s="522">
        <f t="shared" si="2"/>
        <v>7200</v>
      </c>
      <c r="F11" s="522"/>
      <c r="H11" s="85"/>
      <c r="I11" s="653"/>
      <c r="J11" s="207"/>
      <c r="L11" s="55" t="s">
        <v>648</v>
      </c>
      <c r="M11" s="553" t="s">
        <v>649</v>
      </c>
      <c r="N11" s="551" t="s">
        <v>650</v>
      </c>
      <c r="O11" s="55" t="s">
        <v>651</v>
      </c>
      <c r="P11" s="103">
        <f>10*3600</f>
        <v>36000</v>
      </c>
      <c r="Q11" s="103">
        <v>33000</v>
      </c>
      <c r="R11" s="326"/>
      <c r="S11" s="326"/>
      <c r="T11" s="326"/>
      <c r="U11" s="326"/>
    </row>
    <row r="12" spans="1:21" s="322" customFormat="1" ht="18" x14ac:dyDescent="0.35">
      <c r="A12" s="531" t="s">
        <v>672</v>
      </c>
      <c r="B12" s="532" t="s">
        <v>607</v>
      </c>
      <c r="C12" s="522">
        <f>3300*2</f>
        <v>6600</v>
      </c>
      <c r="D12" s="522"/>
      <c r="E12" s="522">
        <f>3300*2</f>
        <v>6600</v>
      </c>
      <c r="F12" s="522"/>
      <c r="H12" s="85"/>
      <c r="I12" s="559"/>
      <c r="J12" s="207"/>
      <c r="L12" s="55"/>
      <c r="M12" s="553"/>
      <c r="N12" s="551"/>
      <c r="O12" s="55"/>
      <c r="P12" s="103"/>
      <c r="Q12" s="103"/>
      <c r="R12" s="326"/>
      <c r="S12" s="326"/>
      <c r="T12" s="326"/>
      <c r="U12" s="326"/>
    </row>
    <row r="13" spans="1:21" s="322" customFormat="1" ht="25.5" customHeight="1" x14ac:dyDescent="0.35">
      <c r="A13" s="532" t="s">
        <v>638</v>
      </c>
      <c r="B13" s="532" t="s">
        <v>147</v>
      </c>
      <c r="C13" s="522"/>
      <c r="D13" s="522"/>
      <c r="E13" s="522"/>
      <c r="F13" s="522"/>
      <c r="H13" s="85"/>
      <c r="I13" s="653" t="s">
        <v>664</v>
      </c>
      <c r="J13" s="207">
        <v>21000</v>
      </c>
      <c r="L13" s="55" t="s">
        <v>652</v>
      </c>
      <c r="M13" s="553" t="s">
        <v>653</v>
      </c>
      <c r="N13" s="551" t="s">
        <v>654</v>
      </c>
      <c r="O13" s="55" t="s">
        <v>651</v>
      </c>
      <c r="P13" s="103">
        <f>10*1936</f>
        <v>19360</v>
      </c>
      <c r="Q13" s="103">
        <v>33000</v>
      </c>
      <c r="R13" s="326"/>
      <c r="S13" s="326"/>
      <c r="T13" s="326"/>
      <c r="U13" s="326"/>
    </row>
    <row r="14" spans="1:21" s="322" customFormat="1" ht="18" x14ac:dyDescent="0.35">
      <c r="A14" s="273" t="s">
        <v>662</v>
      </c>
      <c r="B14" s="532" t="s">
        <v>147</v>
      </c>
      <c r="C14" s="526"/>
      <c r="D14" s="526"/>
      <c r="E14" s="19"/>
      <c r="F14" s="527"/>
      <c r="G14" s="184"/>
      <c r="H14" s="528"/>
      <c r="I14" s="654"/>
      <c r="J14" s="529">
        <v>20000</v>
      </c>
      <c r="L14" s="55"/>
      <c r="M14" s="553"/>
      <c r="N14" s="551"/>
      <c r="O14" s="55"/>
      <c r="P14" s="103"/>
      <c r="Q14" s="103"/>
      <c r="R14" s="326"/>
      <c r="S14" s="326"/>
      <c r="T14" s="326"/>
      <c r="U14" s="326"/>
    </row>
    <row r="15" spans="1:21" s="37" customFormat="1" ht="18.75" customHeight="1" x14ac:dyDescent="0.3">
      <c r="A15" s="273" t="s">
        <v>137</v>
      </c>
      <c r="B15" s="521"/>
      <c r="C15" s="18"/>
      <c r="D15" s="61">
        <v>15000</v>
      </c>
      <c r="E15" s="61">
        <v>15000</v>
      </c>
      <c r="F15" s="302"/>
      <c r="G15" s="29"/>
      <c r="H15" s="298"/>
      <c r="I15" s="298"/>
      <c r="J15" s="298"/>
      <c r="L15" s="55" t="s">
        <v>655</v>
      </c>
      <c r="M15" s="553" t="s">
        <v>656</v>
      </c>
      <c r="N15" s="555"/>
      <c r="O15" s="55" t="s">
        <v>657</v>
      </c>
      <c r="P15" s="103">
        <f>6*1936+4*3600</f>
        <v>26016</v>
      </c>
      <c r="Q15" s="103">
        <v>33000</v>
      </c>
      <c r="R15" s="326"/>
      <c r="S15" s="326"/>
      <c r="T15" s="326"/>
      <c r="U15" s="326"/>
    </row>
    <row r="16" spans="1:21" s="13" customFormat="1" ht="18" x14ac:dyDescent="0.35">
      <c r="A16" s="29"/>
      <c r="B16" s="20"/>
      <c r="C16" s="18"/>
      <c r="D16" s="19"/>
      <c r="E16" s="18"/>
      <c r="F16" s="17"/>
      <c r="G16" s="17"/>
      <c r="H16" s="17"/>
      <c r="I16" s="62" t="s">
        <v>9</v>
      </c>
      <c r="J16" s="17"/>
      <c r="L16" s="553"/>
      <c r="M16" s="553" t="s">
        <v>658</v>
      </c>
      <c r="N16" s="554"/>
      <c r="O16" s="294"/>
      <c r="P16" s="326"/>
      <c r="Q16" s="103"/>
      <c r="R16" s="103"/>
      <c r="S16" s="326"/>
      <c r="T16" s="326"/>
      <c r="U16" s="326"/>
    </row>
    <row r="17" spans="1:21" ht="28.5" customHeight="1" thickBot="1" x14ac:dyDescent="0.35">
      <c r="A17" s="560" t="s">
        <v>673</v>
      </c>
      <c r="B17" s="11" t="s">
        <v>0</v>
      </c>
      <c r="C17" s="10">
        <f>SUM(C6:C16)</f>
        <v>49400</v>
      </c>
      <c r="D17" s="10">
        <f>SUM(D7:D16)</f>
        <v>37800</v>
      </c>
      <c r="E17" s="10">
        <f>SUM(E6:E16)</f>
        <v>44400</v>
      </c>
      <c r="F17" s="10">
        <f>SUM(F6:F16)</f>
        <v>15600</v>
      </c>
      <c r="G17" s="10">
        <f>SUM(G6:G16)</f>
        <v>0</v>
      </c>
      <c r="H17" s="10">
        <f>SUM(H6:H16)</f>
        <v>0</v>
      </c>
      <c r="I17" s="6">
        <f>SUM(C17:H17)</f>
        <v>147200</v>
      </c>
      <c r="J17" s="10">
        <f>SUM(J6:J16)</f>
        <v>41000</v>
      </c>
      <c r="L17" s="553"/>
      <c r="M17" s="553" t="s">
        <v>659</v>
      </c>
      <c r="N17" s="554"/>
      <c r="O17" s="294"/>
      <c r="Q17" s="103"/>
      <c r="R17" s="103"/>
      <c r="T17" s="326"/>
      <c r="U17" s="326"/>
    </row>
    <row r="18" spans="1:21" ht="14.4" thickTop="1" x14ac:dyDescent="0.3">
      <c r="C18" s="4"/>
      <c r="D18" s="4"/>
      <c r="E18" s="4"/>
      <c r="F18" s="4"/>
      <c r="G18" s="4"/>
      <c r="H18" s="4"/>
      <c r="I18" s="4">
        <v>6</v>
      </c>
      <c r="J18" s="4" t="s">
        <v>112</v>
      </c>
    </row>
    <row r="19" spans="1:21" x14ac:dyDescent="0.3">
      <c r="A19" s="47" t="s">
        <v>426</v>
      </c>
      <c r="B19" s="4" t="s">
        <v>66</v>
      </c>
      <c r="C19" s="17">
        <v>0</v>
      </c>
      <c r="E19" s="4"/>
      <c r="I19" s="17">
        <f>I17/I18</f>
        <v>24533.333333333332</v>
      </c>
    </row>
    <row r="20" spans="1:21" x14ac:dyDescent="0.3">
      <c r="B20" s="4" t="s">
        <v>329</v>
      </c>
      <c r="C20" s="17">
        <v>5000</v>
      </c>
      <c r="E20" s="4"/>
      <c r="I20" s="4"/>
      <c r="J20" s="46"/>
    </row>
    <row r="21" spans="1:21" s="102" customFormat="1" x14ac:dyDescent="0.3">
      <c r="B21" s="4"/>
      <c r="C21" s="6"/>
      <c r="E21" s="4"/>
      <c r="J21" s="46"/>
      <c r="P21" s="326"/>
      <c r="Q21" s="326"/>
      <c r="R21" s="326"/>
      <c r="S21" s="326"/>
    </row>
    <row r="22" spans="1:21" x14ac:dyDescent="0.3">
      <c r="B22" s="321" t="s">
        <v>138</v>
      </c>
      <c r="I22" s="4"/>
      <c r="J22" s="46"/>
    </row>
    <row r="23" spans="1:21" x14ac:dyDescent="0.3">
      <c r="B23" s="109" t="s">
        <v>644</v>
      </c>
      <c r="C23" s="4">
        <v>42000</v>
      </c>
      <c r="D23" s="4">
        <f>C26</f>
        <v>22000</v>
      </c>
      <c r="E23" s="4">
        <f>D26</f>
        <v>22000</v>
      </c>
      <c r="F23" s="4">
        <f>E26</f>
        <v>22000</v>
      </c>
      <c r="G23" s="4">
        <f>F26</f>
        <v>22000</v>
      </c>
      <c r="H23" s="4">
        <f>G26</f>
        <v>22000</v>
      </c>
      <c r="I23" s="319"/>
      <c r="J23" s="319"/>
      <c r="K23" s="319"/>
    </row>
    <row r="24" spans="1:21" x14ac:dyDescent="0.3">
      <c r="B24" s="83" t="s">
        <v>281</v>
      </c>
      <c r="C24" s="46">
        <v>0</v>
      </c>
      <c r="D24" s="46">
        <f>C24</f>
        <v>0</v>
      </c>
      <c r="E24" s="46">
        <f>D24</f>
        <v>0</v>
      </c>
      <c r="F24" s="46">
        <f>E24</f>
        <v>0</v>
      </c>
      <c r="G24" s="46">
        <f>F24</f>
        <v>0</v>
      </c>
      <c r="H24" s="46">
        <v>0</v>
      </c>
      <c r="I24" s="319"/>
      <c r="J24" s="319"/>
      <c r="K24" s="319"/>
    </row>
    <row r="25" spans="1:21" ht="15.6" x14ac:dyDescent="0.45">
      <c r="B25" s="83" t="s">
        <v>15</v>
      </c>
      <c r="C25" s="66">
        <f>-C7</f>
        <v>-20000</v>
      </c>
      <c r="D25" s="66">
        <v>0</v>
      </c>
      <c r="E25" s="66">
        <f>-E6</f>
        <v>0</v>
      </c>
      <c r="F25" s="66">
        <f>-F6</f>
        <v>0</v>
      </c>
      <c r="G25" s="66">
        <f>-G6</f>
        <v>0</v>
      </c>
      <c r="H25" s="66">
        <f>-H6</f>
        <v>0</v>
      </c>
      <c r="J25" s="46"/>
    </row>
    <row r="26" spans="1:21" ht="15.6" x14ac:dyDescent="0.45">
      <c r="B26" s="84" t="s">
        <v>14</v>
      </c>
      <c r="C26" s="67">
        <f t="shared" ref="C26:H26" si="3">SUM(C23:C25)</f>
        <v>22000</v>
      </c>
      <c r="D26" s="67">
        <f t="shared" si="3"/>
        <v>22000</v>
      </c>
      <c r="E26" s="67">
        <f t="shared" si="3"/>
        <v>22000</v>
      </c>
      <c r="F26" s="67">
        <f t="shared" si="3"/>
        <v>22000</v>
      </c>
      <c r="G26" s="67">
        <f t="shared" si="3"/>
        <v>22000</v>
      </c>
      <c r="H26" s="67">
        <f t="shared" si="3"/>
        <v>22000</v>
      </c>
      <c r="J26" s="46"/>
    </row>
    <row r="27" spans="1:21" x14ac:dyDescent="0.3">
      <c r="B27" s="321" t="s">
        <v>388</v>
      </c>
      <c r="J27" s="46"/>
      <c r="L27" s="6"/>
    </row>
    <row r="28" spans="1:21" x14ac:dyDescent="0.3">
      <c r="B28" s="109" t="s">
        <v>644</v>
      </c>
      <c r="C28" s="4">
        <v>109000</v>
      </c>
      <c r="D28" s="4">
        <f>C32</f>
        <v>69600</v>
      </c>
      <c r="E28" s="4">
        <f>D32</f>
        <v>41800</v>
      </c>
      <c r="F28" s="4">
        <f>E32</f>
        <v>7400</v>
      </c>
      <c r="G28" s="4">
        <f>F32</f>
        <v>1800</v>
      </c>
      <c r="H28" s="4">
        <f>G32</f>
        <v>11800</v>
      </c>
      <c r="J28" s="46"/>
      <c r="L28" s="6"/>
    </row>
    <row r="29" spans="1:21" s="176" customFormat="1" x14ac:dyDescent="0.3">
      <c r="B29" s="83" t="s">
        <v>84</v>
      </c>
      <c r="C29" s="239">
        <v>0</v>
      </c>
      <c r="D29" s="239">
        <v>0</v>
      </c>
      <c r="E29" s="239">
        <v>0</v>
      </c>
      <c r="F29" s="239">
        <f>0.5*F9</f>
        <v>0</v>
      </c>
      <c r="G29" s="239">
        <v>0</v>
      </c>
      <c r="H29" s="239">
        <v>0</v>
      </c>
      <c r="J29" s="46"/>
      <c r="L29" s="6"/>
      <c r="P29" s="326"/>
      <c r="Q29" s="326"/>
      <c r="R29" s="326"/>
      <c r="S29" s="326"/>
    </row>
    <row r="30" spans="1:21" x14ac:dyDescent="0.3">
      <c r="B30" s="83" t="s">
        <v>281</v>
      </c>
      <c r="C30" s="46">
        <v>10000</v>
      </c>
      <c r="D30" s="46">
        <f>C30</f>
        <v>10000</v>
      </c>
      <c r="E30" s="46">
        <f t="shared" ref="E30:H30" si="4">D30</f>
        <v>10000</v>
      </c>
      <c r="F30" s="46">
        <f t="shared" si="4"/>
        <v>10000</v>
      </c>
      <c r="G30" s="46">
        <f t="shared" si="4"/>
        <v>10000</v>
      </c>
      <c r="H30" s="46">
        <f t="shared" si="4"/>
        <v>10000</v>
      </c>
      <c r="J30" s="46"/>
      <c r="L30" s="6"/>
    </row>
    <row r="31" spans="1:21" ht="15.6" x14ac:dyDescent="0.45">
      <c r="B31" s="83" t="s">
        <v>15</v>
      </c>
      <c r="C31" s="66">
        <f>-SUM(C17)</f>
        <v>-49400</v>
      </c>
      <c r="D31" s="66">
        <f>-SUM(D9:D16)</f>
        <v>-37800</v>
      </c>
      <c r="E31" s="66">
        <f>-SUM(E9:E16)</f>
        <v>-44400</v>
      </c>
      <c r="F31" s="66">
        <f>-SUM(F9:F16)</f>
        <v>-15600</v>
      </c>
      <c r="G31" s="66">
        <f>-SUM(G9:G16)</f>
        <v>0</v>
      </c>
      <c r="H31" s="66">
        <f>-SUM(H9:H16)</f>
        <v>0</v>
      </c>
      <c r="J31" s="46"/>
    </row>
    <row r="32" spans="1:21" ht="15.6" x14ac:dyDescent="0.45">
      <c r="B32" s="84" t="s">
        <v>14</v>
      </c>
      <c r="C32" s="67">
        <f t="shared" ref="C32:H32" si="5">SUM(C28:C31)</f>
        <v>69600</v>
      </c>
      <c r="D32" s="67">
        <f t="shared" si="5"/>
        <v>41800</v>
      </c>
      <c r="E32" s="67">
        <f t="shared" si="5"/>
        <v>7400</v>
      </c>
      <c r="F32" s="67">
        <f t="shared" si="5"/>
        <v>1800</v>
      </c>
      <c r="G32" s="67">
        <f t="shared" si="5"/>
        <v>11800</v>
      </c>
      <c r="H32" s="67">
        <f t="shared" si="5"/>
        <v>21800</v>
      </c>
      <c r="J32" s="46"/>
    </row>
    <row r="33" spans="3:10" x14ac:dyDescent="0.3">
      <c r="C33" s="46"/>
      <c r="D33" s="46"/>
      <c r="E33" s="46"/>
      <c r="F33" s="46"/>
      <c r="G33" s="46"/>
      <c r="H33" s="46"/>
      <c r="I33" s="46"/>
      <c r="J33" s="46"/>
    </row>
    <row r="34" spans="3:10" x14ac:dyDescent="0.3">
      <c r="C34" s="46"/>
      <c r="D34" s="46"/>
      <c r="E34" s="46"/>
      <c r="F34" s="46"/>
      <c r="G34" s="46"/>
      <c r="H34" s="46"/>
      <c r="I34" s="46"/>
      <c r="J34" s="46"/>
    </row>
    <row r="35" spans="3:10" x14ac:dyDescent="0.3">
      <c r="C35" s="46"/>
      <c r="D35" s="46"/>
      <c r="E35" s="46"/>
      <c r="F35" s="46"/>
      <c r="G35" s="46"/>
      <c r="H35" s="46"/>
      <c r="I35" s="46"/>
      <c r="J35" s="46"/>
    </row>
    <row r="36" spans="3:10" x14ac:dyDescent="0.3">
      <c r="C36" s="46"/>
      <c r="D36" s="46"/>
      <c r="E36" s="46"/>
      <c r="F36" s="46"/>
      <c r="G36" s="46"/>
      <c r="H36" s="46"/>
      <c r="I36" s="46"/>
      <c r="J36" s="46"/>
    </row>
    <row r="37" spans="3:10" x14ac:dyDescent="0.3">
      <c r="C37" s="46"/>
      <c r="D37" s="46"/>
      <c r="E37" s="46"/>
      <c r="F37" s="46"/>
      <c r="G37" s="46"/>
      <c r="H37" s="46"/>
      <c r="I37" s="46"/>
      <c r="J37" s="46"/>
    </row>
  </sheetData>
  <mergeCells count="3">
    <mergeCell ref="I4:J4"/>
    <mergeCell ref="I9:I11"/>
    <mergeCell ref="I13:I14"/>
  </mergeCells>
  <pageMargins left="0.7" right="0.7" top="0.75" bottom="0.75" header="0.3" footer="0.3"/>
  <pageSetup scale="90" orientation="landscape" r:id="rId1"/>
  <headerFooter>
    <oddHeader>&amp;C&amp;"-,Bold"&amp;12CIP DEPARTMENT INFORMATION REQUEST FORM
DEPARTMENT:   EMERGENCY MANAGEMENT</oddHeader>
    <oddFooter>&amp;L&amp;A&amp;RPage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view="pageBreakPreview" zoomScaleNormal="100" zoomScaleSheetLayoutView="100" workbookViewId="0">
      <selection activeCell="C24" sqref="C24"/>
    </sheetView>
  </sheetViews>
  <sheetFormatPr defaultRowHeight="13.8" x14ac:dyDescent="0.3"/>
  <cols>
    <col min="1" max="1" width="22" customWidth="1"/>
    <col min="2" max="2" width="24" customWidth="1"/>
    <col min="3" max="3" width="10.6640625" bestFit="1" customWidth="1"/>
    <col min="4" max="4" width="10.109375" customWidth="1"/>
    <col min="5" max="5" width="10.5546875" bestFit="1" customWidth="1"/>
    <col min="6" max="6" width="9.88671875" customWidth="1"/>
    <col min="7" max="8" width="10.5546875" bestFit="1" customWidth="1"/>
    <col min="9" max="9" width="22.33203125" customWidth="1"/>
    <col min="10" max="10" width="10.6640625" customWidth="1"/>
  </cols>
  <sheetData>
    <row r="1" spans="1:10" ht="20.25" customHeight="1" x14ac:dyDescent="0.3">
      <c r="A1" s="320" t="s">
        <v>716</v>
      </c>
      <c r="I1" s="247"/>
      <c r="J1" s="248"/>
    </row>
    <row r="2" spans="1:10" x14ac:dyDescent="0.3">
      <c r="A2" s="320" t="s">
        <v>267</v>
      </c>
    </row>
    <row r="3" spans="1:10" x14ac:dyDescent="0.3">
      <c r="A3" s="320" t="s">
        <v>268</v>
      </c>
    </row>
    <row r="4" spans="1:10" s="24" customFormat="1" x14ac:dyDescent="0.3">
      <c r="A4" s="327" t="s">
        <v>269</v>
      </c>
      <c r="I4" s="623" t="s">
        <v>412</v>
      </c>
      <c r="J4" s="624"/>
    </row>
    <row r="5" spans="1:10" s="24" customFormat="1" x14ac:dyDescent="0.3">
      <c r="A5" s="280" t="s">
        <v>3</v>
      </c>
      <c r="B5" s="280" t="s">
        <v>4</v>
      </c>
      <c r="C5" s="22">
        <v>2021</v>
      </c>
      <c r="D5" s="22">
        <f>C5+1</f>
        <v>2022</v>
      </c>
      <c r="E5" s="22">
        <f>D5+1</f>
        <v>2023</v>
      </c>
      <c r="F5" s="22">
        <f>E5+1</f>
        <v>2024</v>
      </c>
      <c r="G5" s="22">
        <f>F5+1</f>
        <v>2025</v>
      </c>
      <c r="H5" s="22">
        <f>G5+1</f>
        <v>2026</v>
      </c>
      <c r="I5" s="21" t="s">
        <v>3</v>
      </c>
      <c r="J5" s="21" t="s">
        <v>2</v>
      </c>
    </row>
    <row r="6" spans="1:10" s="24" customFormat="1" ht="67.5" customHeight="1" x14ac:dyDescent="0.3">
      <c r="A6" s="233" t="s">
        <v>420</v>
      </c>
      <c r="B6" s="282" t="s">
        <v>605</v>
      </c>
      <c r="C6" s="202"/>
      <c r="D6" s="202"/>
      <c r="E6" s="202"/>
      <c r="F6" s="202"/>
      <c r="G6" s="418" t="s">
        <v>468</v>
      </c>
      <c r="H6" s="202"/>
      <c r="I6" s="518" t="s">
        <v>744</v>
      </c>
      <c r="J6" s="202"/>
    </row>
    <row r="7" spans="1:10" s="13" customFormat="1" ht="18" x14ac:dyDescent="0.35">
      <c r="A7" s="233" t="s">
        <v>421</v>
      </c>
      <c r="B7" s="282" t="s">
        <v>422</v>
      </c>
      <c r="C7" s="202"/>
      <c r="D7" s="202"/>
      <c r="E7" s="202"/>
      <c r="F7" s="202">
        <v>75000</v>
      </c>
      <c r="G7" s="202"/>
      <c r="H7" s="202"/>
      <c r="I7" s="655" t="s">
        <v>734</v>
      </c>
      <c r="J7" s="202"/>
    </row>
    <row r="8" spans="1:10" s="13" customFormat="1" ht="18" x14ac:dyDescent="0.35">
      <c r="A8" s="233" t="s">
        <v>85</v>
      </c>
      <c r="B8" s="282" t="s">
        <v>139</v>
      </c>
      <c r="C8" s="202"/>
      <c r="D8" s="202"/>
      <c r="E8" s="202"/>
      <c r="F8" s="202">
        <v>30000</v>
      </c>
      <c r="G8" s="202"/>
      <c r="H8" s="202"/>
      <c r="I8" s="626"/>
      <c r="J8" s="202"/>
    </row>
    <row r="9" spans="1:10" s="13" customFormat="1" ht="68.25" customHeight="1" x14ac:dyDescent="0.35">
      <c r="A9" s="276" t="s">
        <v>609</v>
      </c>
      <c r="B9" s="282" t="s">
        <v>741</v>
      </c>
      <c r="C9" s="202"/>
      <c r="D9" s="202"/>
      <c r="E9" s="202">
        <v>600000</v>
      </c>
      <c r="F9" s="202"/>
      <c r="G9" s="202"/>
      <c r="H9" s="202"/>
      <c r="I9" s="542" t="s">
        <v>740</v>
      </c>
      <c r="J9" s="519"/>
    </row>
    <row r="10" spans="1:10" s="106" customFormat="1" ht="31.5" customHeight="1" x14ac:dyDescent="0.35">
      <c r="A10" s="233" t="s">
        <v>613</v>
      </c>
      <c r="B10" s="282" t="s">
        <v>614</v>
      </c>
      <c r="C10" s="202"/>
      <c r="D10" s="202"/>
      <c r="E10" s="202"/>
      <c r="F10" s="202"/>
      <c r="G10" s="202"/>
      <c r="H10" s="202"/>
      <c r="I10" s="518" t="s">
        <v>615</v>
      </c>
      <c r="J10" s="368"/>
    </row>
    <row r="11" spans="1:10" s="106" customFormat="1" ht="44.25" customHeight="1" x14ac:dyDescent="0.35">
      <c r="A11" s="233" t="s">
        <v>610</v>
      </c>
      <c r="B11" s="282" t="s">
        <v>424</v>
      </c>
      <c r="C11" s="202"/>
      <c r="D11" s="202"/>
      <c r="E11" s="202"/>
      <c r="F11" s="202"/>
      <c r="G11" s="202"/>
      <c r="H11" s="202">
        <v>500000</v>
      </c>
      <c r="I11" s="542" t="s">
        <v>639</v>
      </c>
      <c r="J11" s="368"/>
    </row>
    <row r="12" spans="1:10" s="151" customFormat="1" ht="18" x14ac:dyDescent="0.35">
      <c r="A12" s="233" t="s">
        <v>425</v>
      </c>
      <c r="B12" s="282"/>
      <c r="C12" s="202"/>
      <c r="D12" s="202"/>
      <c r="E12" s="202"/>
      <c r="F12" s="202"/>
      <c r="G12" s="202"/>
      <c r="H12" s="202">
        <v>10000</v>
      </c>
      <c r="I12" s="323"/>
      <c r="J12" s="179"/>
    </row>
    <row r="13" spans="1:10" s="322" customFormat="1" ht="29.25" customHeight="1" x14ac:dyDescent="0.35">
      <c r="A13" s="233" t="s">
        <v>421</v>
      </c>
      <c r="B13" s="282" t="s">
        <v>604</v>
      </c>
      <c r="C13" s="202"/>
      <c r="D13" s="202"/>
      <c r="E13" s="202"/>
      <c r="F13" s="202"/>
      <c r="G13" s="202"/>
      <c r="H13" s="202">
        <v>75000</v>
      </c>
      <c r="I13" s="323"/>
      <c r="J13" s="323"/>
    </row>
    <row r="14" spans="1:10" s="322" customFormat="1" ht="29.25" customHeight="1" x14ac:dyDescent="0.35">
      <c r="A14" s="233" t="s">
        <v>423</v>
      </c>
      <c r="B14" s="282"/>
      <c r="C14" s="202"/>
      <c r="D14" s="202"/>
      <c r="E14" s="202"/>
      <c r="F14" s="202"/>
      <c r="G14" s="202"/>
      <c r="H14" s="202"/>
      <c r="I14" s="518" t="s">
        <v>517</v>
      </c>
      <c r="J14" s="202">
        <v>300000</v>
      </c>
    </row>
    <row r="15" spans="1:10" s="106" customFormat="1" ht="18" x14ac:dyDescent="0.35">
      <c r="A15" s="236"/>
      <c r="B15" s="236"/>
      <c r="C15" s="202"/>
      <c r="D15" s="202"/>
      <c r="E15" s="202"/>
      <c r="F15" s="202"/>
      <c r="G15" s="202"/>
      <c r="H15" s="202"/>
      <c r="I15" s="62" t="s">
        <v>9</v>
      </c>
      <c r="J15" s="152"/>
    </row>
    <row r="16" spans="1:10" ht="21.75" customHeight="1" thickBot="1" x14ac:dyDescent="0.35">
      <c r="A16" s="12"/>
      <c r="B16" s="11" t="s">
        <v>0</v>
      </c>
      <c r="C16" s="399">
        <f t="shared" ref="C16:H16" si="0">SUM(C6:C13)</f>
        <v>0</v>
      </c>
      <c r="D16" s="399">
        <f t="shared" si="0"/>
        <v>0</v>
      </c>
      <c r="E16" s="399">
        <f t="shared" si="0"/>
        <v>600000</v>
      </c>
      <c r="F16" s="399">
        <f t="shared" si="0"/>
        <v>105000</v>
      </c>
      <c r="G16" s="399">
        <f>SUM(G6:G13)</f>
        <v>0</v>
      </c>
      <c r="H16" s="399">
        <f t="shared" si="0"/>
        <v>585000</v>
      </c>
      <c r="I16" s="10">
        <f>SUM(C16:H16)</f>
        <v>1290000</v>
      </c>
      <c r="J16" s="10"/>
    </row>
    <row r="17" spans="1:12" ht="14.4" thickTop="1" x14ac:dyDescent="0.3">
      <c r="H17" s="102"/>
      <c r="I17" s="102"/>
      <c r="J17" s="102"/>
      <c r="K17" s="102"/>
      <c r="L17" s="102"/>
    </row>
    <row r="18" spans="1:12" x14ac:dyDescent="0.3">
      <c r="B18" t="s">
        <v>218</v>
      </c>
      <c r="C18" s="17">
        <v>5000</v>
      </c>
      <c r="I18" s="102"/>
      <c r="J18" s="102"/>
    </row>
    <row r="20" spans="1:12" x14ac:dyDescent="0.3">
      <c r="B20" s="109" t="s">
        <v>644</v>
      </c>
      <c r="C20" s="137">
        <v>198000</v>
      </c>
      <c r="D20" s="4">
        <f>C27</f>
        <v>126000</v>
      </c>
      <c r="E20" s="4">
        <f t="shared" ref="E20:H20" si="1">D27</f>
        <v>131000</v>
      </c>
      <c r="F20" s="4">
        <f t="shared" si="1"/>
        <v>136000</v>
      </c>
      <c r="G20" s="4">
        <f t="shared" si="1"/>
        <v>36000</v>
      </c>
      <c r="H20" s="4">
        <f t="shared" si="1"/>
        <v>41000</v>
      </c>
      <c r="I20" s="46"/>
    </row>
    <row r="21" spans="1:12" s="319" customFormat="1" x14ac:dyDescent="0.3">
      <c r="B21" s="65" t="s">
        <v>743</v>
      </c>
      <c r="C21" s="137">
        <v>-107000</v>
      </c>
      <c r="D21" s="324"/>
      <c r="E21" s="324"/>
      <c r="F21" s="324"/>
      <c r="G21" s="324"/>
      <c r="H21" s="324"/>
      <c r="I21" s="46"/>
    </row>
    <row r="22" spans="1:12" s="319" customFormat="1" x14ac:dyDescent="0.3">
      <c r="B22" s="334" t="s">
        <v>616</v>
      </c>
      <c r="C22" s="137">
        <v>30000</v>
      </c>
      <c r="D22" s="324">
        <v>0</v>
      </c>
      <c r="E22" s="324">
        <v>0</v>
      </c>
      <c r="F22" s="324">
        <v>0</v>
      </c>
      <c r="G22" s="324">
        <v>0</v>
      </c>
      <c r="H22" s="324">
        <v>0</v>
      </c>
      <c r="I22" s="46" t="s">
        <v>617</v>
      </c>
    </row>
    <row r="23" spans="1:12" x14ac:dyDescent="0.3">
      <c r="B23" s="65" t="s">
        <v>281</v>
      </c>
      <c r="C23" s="4">
        <v>5000</v>
      </c>
      <c r="D23" s="4">
        <f>C23</f>
        <v>5000</v>
      </c>
      <c r="E23" s="4">
        <f>D23</f>
        <v>5000</v>
      </c>
      <c r="F23" s="4">
        <f t="shared" ref="F23:H23" si="2">E23</f>
        <v>5000</v>
      </c>
      <c r="G23" s="4">
        <f t="shared" si="2"/>
        <v>5000</v>
      </c>
      <c r="H23" s="4">
        <f t="shared" si="2"/>
        <v>5000</v>
      </c>
      <c r="I23" s="46"/>
    </row>
    <row r="24" spans="1:12" x14ac:dyDescent="0.3">
      <c r="B24" s="65" t="s">
        <v>168</v>
      </c>
      <c r="C24" s="4">
        <v>0</v>
      </c>
      <c r="D24" s="4">
        <v>0</v>
      </c>
      <c r="E24" s="4">
        <v>600000</v>
      </c>
      <c r="F24" s="4">
        <v>0</v>
      </c>
      <c r="G24" s="70">
        <v>0</v>
      </c>
      <c r="H24" s="70">
        <v>500000</v>
      </c>
      <c r="I24" s="46"/>
    </row>
    <row r="25" spans="1:12" s="150" customFormat="1" x14ac:dyDescent="0.3">
      <c r="B25" s="65" t="s">
        <v>84</v>
      </c>
      <c r="C25" s="324">
        <v>0</v>
      </c>
      <c r="D25" s="153">
        <v>0</v>
      </c>
      <c r="E25" s="153">
        <v>0</v>
      </c>
      <c r="F25" s="153">
        <v>0</v>
      </c>
      <c r="G25" s="153">
        <v>0</v>
      </c>
      <c r="H25" s="153">
        <v>0</v>
      </c>
      <c r="I25" s="46"/>
    </row>
    <row r="26" spans="1:12" ht="15.6" x14ac:dyDescent="0.45">
      <c r="B26" s="65" t="s">
        <v>36</v>
      </c>
      <c r="C26" s="56">
        <f t="shared" ref="C26:H26" si="3">-C16</f>
        <v>0</v>
      </c>
      <c r="D26" s="56">
        <f t="shared" si="3"/>
        <v>0</v>
      </c>
      <c r="E26" s="56">
        <f t="shared" si="3"/>
        <v>-600000</v>
      </c>
      <c r="F26" s="56">
        <f t="shared" si="3"/>
        <v>-105000</v>
      </c>
      <c r="G26" s="56">
        <f t="shared" si="3"/>
        <v>0</v>
      </c>
      <c r="H26" s="56">
        <f t="shared" si="3"/>
        <v>-585000</v>
      </c>
      <c r="I26" s="46"/>
    </row>
    <row r="27" spans="1:12" ht="15.6" x14ac:dyDescent="0.45">
      <c r="B27" s="79" t="s">
        <v>37</v>
      </c>
      <c r="C27" s="63">
        <f t="shared" ref="C27:H27" si="4">SUM(C20:C26)</f>
        <v>126000</v>
      </c>
      <c r="D27" s="63">
        <f t="shared" si="4"/>
        <v>131000</v>
      </c>
      <c r="E27" s="64">
        <f t="shared" si="4"/>
        <v>136000</v>
      </c>
      <c r="F27" s="63">
        <f t="shared" si="4"/>
        <v>36000</v>
      </c>
      <c r="G27" s="63">
        <f t="shared" si="4"/>
        <v>41000</v>
      </c>
      <c r="H27" s="289">
        <f t="shared" si="4"/>
        <v>-39000</v>
      </c>
      <c r="I27" s="46"/>
    </row>
    <row r="29" spans="1:12" x14ac:dyDescent="0.3">
      <c r="A29" s="94" t="s">
        <v>140</v>
      </c>
      <c r="F29" s="4"/>
    </row>
    <row r="30" spans="1:12" ht="15.6" x14ac:dyDescent="0.45">
      <c r="A30" s="95" t="s">
        <v>57</v>
      </c>
      <c r="C30" s="319"/>
      <c r="F30" s="93">
        <f t="shared" ref="F30:G30" si="5">F24</f>
        <v>0</v>
      </c>
      <c r="G30" s="93">
        <f t="shared" si="5"/>
        <v>0</v>
      </c>
      <c r="H30" s="93">
        <f>H24</f>
        <v>500000</v>
      </c>
    </row>
    <row r="31" spans="1:12" x14ac:dyDescent="0.3">
      <c r="A31" s="94"/>
      <c r="B31" s="92"/>
      <c r="C31" s="319"/>
      <c r="F31" s="319">
        <v>20</v>
      </c>
      <c r="G31" s="319">
        <v>20</v>
      </c>
      <c r="H31" s="319">
        <v>20</v>
      </c>
    </row>
    <row r="32" spans="1:12" x14ac:dyDescent="0.3">
      <c r="A32" s="94"/>
      <c r="B32" s="92"/>
      <c r="C32" s="319"/>
      <c r="F32" s="91">
        <v>0.05</v>
      </c>
      <c r="G32" s="91">
        <v>0.05</v>
      </c>
      <c r="H32" s="91">
        <v>0.05</v>
      </c>
    </row>
    <row r="33" spans="1:9" x14ac:dyDescent="0.3">
      <c r="A33" s="94"/>
      <c r="B33" s="92"/>
      <c r="C33" s="319"/>
      <c r="F33" s="292">
        <f t="shared" ref="F33:G33" si="6">PMT(F32,F31,F30)</f>
        <v>0</v>
      </c>
      <c r="G33" s="292">
        <f t="shared" si="6"/>
        <v>0</v>
      </c>
      <c r="H33" s="292">
        <f>PMT(H32,H31,H30)</f>
        <v>-40121.293595345662</v>
      </c>
    </row>
    <row r="34" spans="1:9" x14ac:dyDescent="0.3">
      <c r="A34" s="94"/>
      <c r="C34" s="319"/>
      <c r="F34" s="4"/>
    </row>
    <row r="35" spans="1:9" x14ac:dyDescent="0.3">
      <c r="C35" s="319"/>
      <c r="D35" s="45"/>
      <c r="E35" s="45"/>
      <c r="F35" s="45"/>
      <c r="G35" s="45"/>
      <c r="H35" s="45"/>
      <c r="I35" s="45"/>
    </row>
    <row r="36" spans="1:9" x14ac:dyDescent="0.3">
      <c r="C36" s="319"/>
      <c r="D36" s="45"/>
      <c r="E36" s="45"/>
      <c r="F36" s="45"/>
      <c r="G36" s="45"/>
      <c r="H36" s="45"/>
      <c r="I36" s="45"/>
    </row>
    <row r="37" spans="1:9" x14ac:dyDescent="0.3">
      <c r="C37" s="319"/>
    </row>
  </sheetData>
  <mergeCells count="2">
    <mergeCell ref="I4:J4"/>
    <mergeCell ref="I7:I8"/>
  </mergeCells>
  <pageMargins left="0.7" right="0.7" top="0.75" bottom="0.75" header="0.3" footer="0.3"/>
  <pageSetup scale="83" orientation="landscape" r:id="rId1"/>
  <headerFooter>
    <oddHeader>&amp;C&amp;"-,Bold"&amp;12CIP DEPARTMENT INFORMATION REQUEST FORM
DEPARTMENT:     FIRE TRUCKS</oddHeader>
    <oddFooter>&amp;L&amp;A&amp;RPage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view="pageLayout" zoomScale="130" zoomScaleNormal="130" zoomScalePageLayoutView="130" workbookViewId="0"/>
  </sheetViews>
  <sheetFormatPr defaultColWidth="8.88671875" defaultRowHeight="14.4" x14ac:dyDescent="0.3"/>
  <cols>
    <col min="1" max="1" width="6.88671875" style="402" bestFit="1" customWidth="1"/>
    <col min="2" max="2" width="24.6640625" style="402" bestFit="1" customWidth="1"/>
    <col min="3" max="3" width="7" style="402" bestFit="1" customWidth="1"/>
    <col min="4" max="4" width="4.109375" style="402" bestFit="1" customWidth="1"/>
    <col min="5" max="5" width="10.88671875" style="402" bestFit="1" customWidth="1"/>
    <col min="6" max="6" width="19.88671875" style="402" customWidth="1"/>
    <col min="7" max="7" width="17.44140625" style="402" customWidth="1"/>
    <col min="8" max="8" width="22.33203125" style="402" customWidth="1"/>
    <col min="9" max="16384" width="8.88671875" style="402"/>
  </cols>
  <sheetData>
    <row r="1" spans="1:8" x14ac:dyDescent="0.3">
      <c r="A1" s="402" t="s">
        <v>716</v>
      </c>
    </row>
    <row r="4" spans="1:8" ht="22.5" customHeight="1" x14ac:dyDescent="0.3">
      <c r="A4" s="400" t="s">
        <v>427</v>
      </c>
      <c r="B4" s="400" t="s">
        <v>428</v>
      </c>
      <c r="C4" s="400" t="s">
        <v>429</v>
      </c>
      <c r="D4" s="400" t="s">
        <v>430</v>
      </c>
      <c r="E4" s="400" t="s">
        <v>431</v>
      </c>
      <c r="F4" s="401" t="s">
        <v>432</v>
      </c>
      <c r="G4" s="401" t="s">
        <v>433</v>
      </c>
      <c r="H4" s="401" t="s">
        <v>434</v>
      </c>
    </row>
    <row r="5" spans="1:8" ht="23.25" customHeight="1" x14ac:dyDescent="0.3">
      <c r="A5" s="403">
        <v>2008</v>
      </c>
      <c r="B5" s="403" t="s">
        <v>435</v>
      </c>
      <c r="C5" s="404" t="s">
        <v>57</v>
      </c>
      <c r="D5" s="403"/>
      <c r="E5" s="404" t="s">
        <v>436</v>
      </c>
      <c r="F5" s="405">
        <v>700000</v>
      </c>
      <c r="G5" s="403" t="s">
        <v>437</v>
      </c>
      <c r="H5" s="403">
        <v>2028</v>
      </c>
    </row>
    <row r="6" spans="1:8" ht="23.25" customHeight="1" x14ac:dyDescent="0.3">
      <c r="A6" s="406">
        <v>2001</v>
      </c>
      <c r="B6" s="406" t="s">
        <v>438</v>
      </c>
      <c r="C6" s="407" t="s">
        <v>57</v>
      </c>
      <c r="D6" s="406"/>
      <c r="E6" s="407" t="s">
        <v>439</v>
      </c>
      <c r="F6" s="408">
        <v>700000</v>
      </c>
      <c r="G6" s="406">
        <v>2025</v>
      </c>
      <c r="H6" s="406" t="s">
        <v>440</v>
      </c>
    </row>
    <row r="7" spans="1:8" ht="23.25" customHeight="1" x14ac:dyDescent="0.3">
      <c r="A7" s="403">
        <v>2019</v>
      </c>
      <c r="B7" s="403" t="s">
        <v>441</v>
      </c>
      <c r="C7" s="404" t="s">
        <v>57</v>
      </c>
      <c r="D7" s="403"/>
      <c r="E7" s="404" t="s">
        <v>442</v>
      </c>
      <c r="F7" s="405">
        <v>700000</v>
      </c>
      <c r="G7" s="403" t="s">
        <v>437</v>
      </c>
      <c r="H7" s="403">
        <v>2040</v>
      </c>
    </row>
    <row r="8" spans="1:8" ht="24" customHeight="1" x14ac:dyDescent="0.3">
      <c r="A8" s="406">
        <v>2000</v>
      </c>
      <c r="B8" s="406" t="s">
        <v>443</v>
      </c>
      <c r="C8" s="407" t="s">
        <v>444</v>
      </c>
      <c r="D8" s="406"/>
      <c r="E8" s="407" t="s">
        <v>445</v>
      </c>
      <c r="F8" s="408">
        <v>750000</v>
      </c>
      <c r="G8" s="406" t="s">
        <v>446</v>
      </c>
      <c r="H8" s="406" t="s">
        <v>440</v>
      </c>
    </row>
    <row r="9" spans="1:8" ht="22.5" customHeight="1" x14ac:dyDescent="0.3">
      <c r="A9" s="403">
        <v>2014</v>
      </c>
      <c r="B9" s="403" t="s">
        <v>425</v>
      </c>
      <c r="C9" s="404" t="s">
        <v>447</v>
      </c>
      <c r="D9" s="403"/>
      <c r="E9" s="404" t="s">
        <v>448</v>
      </c>
      <c r="F9" s="405">
        <v>10000</v>
      </c>
      <c r="G9" s="403">
        <v>2026</v>
      </c>
      <c r="H9" s="403" t="s">
        <v>440</v>
      </c>
    </row>
    <row r="10" spans="1:8" ht="22.5" customHeight="1" x14ac:dyDescent="0.3">
      <c r="A10" s="406">
        <v>2013</v>
      </c>
      <c r="B10" s="406" t="s">
        <v>449</v>
      </c>
      <c r="C10" s="407" t="s">
        <v>450</v>
      </c>
      <c r="D10" s="406"/>
      <c r="E10" s="407" t="s">
        <v>451</v>
      </c>
      <c r="F10" s="408">
        <v>60000</v>
      </c>
      <c r="G10" s="406">
        <v>2026</v>
      </c>
      <c r="H10" s="406" t="s">
        <v>440</v>
      </c>
    </row>
    <row r="11" spans="1:8" ht="24" customHeight="1" x14ac:dyDescent="0.3">
      <c r="A11" s="403">
        <v>2016</v>
      </c>
      <c r="B11" s="403" t="s">
        <v>452</v>
      </c>
      <c r="C11" s="404" t="s">
        <v>450</v>
      </c>
      <c r="D11" s="403"/>
      <c r="E11" s="404" t="s">
        <v>453</v>
      </c>
      <c r="F11" s="405">
        <v>60000</v>
      </c>
      <c r="G11" s="403">
        <v>2028</v>
      </c>
      <c r="H11" s="403" t="s">
        <v>440</v>
      </c>
    </row>
    <row r="12" spans="1:8" ht="24" customHeight="1" x14ac:dyDescent="0.3">
      <c r="A12" s="406">
        <v>2011</v>
      </c>
      <c r="B12" s="406" t="s">
        <v>454</v>
      </c>
      <c r="C12" s="407" t="s">
        <v>450</v>
      </c>
      <c r="D12" s="406"/>
      <c r="E12" s="407" t="s">
        <v>455</v>
      </c>
      <c r="F12" s="408">
        <v>60000</v>
      </c>
      <c r="G12" s="406">
        <v>2020</v>
      </c>
      <c r="H12" s="406" t="s">
        <v>440</v>
      </c>
    </row>
    <row r="13" spans="1:8" ht="24" customHeight="1" x14ac:dyDescent="0.3">
      <c r="A13" s="403">
        <v>1985</v>
      </c>
      <c r="B13" s="403" t="s">
        <v>456</v>
      </c>
      <c r="C13" s="404" t="s">
        <v>456</v>
      </c>
      <c r="D13" s="403"/>
      <c r="E13" s="404" t="s">
        <v>457</v>
      </c>
      <c r="F13" s="405">
        <v>150000</v>
      </c>
      <c r="G13" s="403">
        <v>2020</v>
      </c>
      <c r="H13" s="403" t="s">
        <v>440</v>
      </c>
    </row>
    <row r="14" spans="1:8" ht="23.25" customHeight="1" x14ac:dyDescent="0.3">
      <c r="A14" s="406">
        <v>2010</v>
      </c>
      <c r="B14" s="406" t="s">
        <v>458</v>
      </c>
      <c r="C14" s="407" t="s">
        <v>459</v>
      </c>
      <c r="D14" s="406"/>
      <c r="E14" s="407" t="s">
        <v>460</v>
      </c>
      <c r="F14" s="408">
        <v>30000</v>
      </c>
      <c r="G14" s="406">
        <v>2024</v>
      </c>
      <c r="H14" s="406" t="s">
        <v>440</v>
      </c>
    </row>
    <row r="15" spans="1:8" ht="23.25" customHeight="1" x14ac:dyDescent="0.3">
      <c r="A15" s="403">
        <v>2010</v>
      </c>
      <c r="B15" s="403" t="s">
        <v>461</v>
      </c>
      <c r="C15" s="404" t="s">
        <v>462</v>
      </c>
      <c r="D15" s="403"/>
      <c r="E15" s="404" t="s">
        <v>463</v>
      </c>
      <c r="F15" s="405">
        <v>300000</v>
      </c>
      <c r="G15" s="403" t="s">
        <v>437</v>
      </c>
      <c r="H15" s="403" t="s">
        <v>440</v>
      </c>
    </row>
    <row r="16" spans="1:8" ht="21.75" customHeight="1" x14ac:dyDescent="0.3">
      <c r="A16" s="406">
        <v>2015</v>
      </c>
      <c r="B16" s="406" t="s">
        <v>464</v>
      </c>
      <c r="C16" s="407" t="s">
        <v>465</v>
      </c>
      <c r="D16" s="406"/>
      <c r="E16" s="407" t="s">
        <v>448</v>
      </c>
      <c r="F16" s="408">
        <v>300000</v>
      </c>
      <c r="G16" s="406" t="s">
        <v>437</v>
      </c>
      <c r="H16" s="406" t="s">
        <v>440</v>
      </c>
    </row>
    <row r="17" spans="1:8" ht="25.5" customHeight="1" x14ac:dyDescent="0.3">
      <c r="A17" s="403">
        <v>2000</v>
      </c>
      <c r="B17" s="403" t="s">
        <v>466</v>
      </c>
      <c r="C17" s="404" t="s">
        <v>450</v>
      </c>
      <c r="D17" s="403"/>
      <c r="E17" s="404" t="s">
        <v>467</v>
      </c>
      <c r="F17" s="405">
        <v>400000</v>
      </c>
      <c r="G17" s="403" t="s">
        <v>437</v>
      </c>
      <c r="H17" s="409" t="s">
        <v>440</v>
      </c>
    </row>
    <row r="18" spans="1:8" ht="22.95" customHeight="1" x14ac:dyDescent="0.3">
      <c r="A18" s="406" t="s">
        <v>1</v>
      </c>
      <c r="B18" s="410"/>
      <c r="C18" s="407"/>
      <c r="D18" s="406"/>
      <c r="E18" s="410"/>
      <c r="F18" s="408">
        <f>SUM(F7:F17)</f>
        <v>2820000</v>
      </c>
      <c r="G18" s="406"/>
      <c r="H18" s="406"/>
    </row>
    <row r="19" spans="1:8" ht="25.2" customHeight="1" x14ac:dyDescent="0.3">
      <c r="A19" s="403"/>
      <c r="B19" s="403"/>
      <c r="C19" s="411"/>
      <c r="D19" s="412"/>
      <c r="E19" s="403"/>
      <c r="F19" s="413"/>
      <c r="G19" s="414"/>
      <c r="H19" s="409"/>
    </row>
    <row r="20" spans="1:8" ht="25.2" customHeight="1" x14ac:dyDescent="0.3">
      <c r="A20" s="406"/>
      <c r="B20" s="410"/>
      <c r="C20" s="407"/>
      <c r="D20" s="406"/>
      <c r="E20" s="410"/>
      <c r="F20" s="408"/>
      <c r="G20" s="406"/>
      <c r="H20" s="406"/>
    </row>
    <row r="21" spans="1:8" ht="25.2" customHeight="1" x14ac:dyDescent="0.3">
      <c r="A21" s="409"/>
      <c r="B21" s="403"/>
      <c r="C21" s="411"/>
      <c r="D21" s="412"/>
      <c r="E21" s="403"/>
      <c r="F21" s="413"/>
      <c r="G21" s="414"/>
      <c r="H21" s="409"/>
    </row>
    <row r="22" spans="1:8" x14ac:dyDescent="0.3">
      <c r="A22" s="415"/>
      <c r="B22" s="416"/>
      <c r="C22" s="416"/>
      <c r="D22" s="416"/>
      <c r="E22" s="416"/>
      <c r="F22" s="416"/>
      <c r="G22" s="416"/>
      <c r="H22" s="416"/>
    </row>
    <row r="23" spans="1:8" x14ac:dyDescent="0.3">
      <c r="A23" s="415"/>
      <c r="B23" s="416"/>
      <c r="C23" s="416"/>
      <c r="D23" s="416"/>
      <c r="E23" s="416"/>
      <c r="F23" s="416"/>
      <c r="G23" s="416"/>
      <c r="H23" s="416"/>
    </row>
    <row r="24" spans="1:8" x14ac:dyDescent="0.3">
      <c r="A24" s="415"/>
      <c r="B24" s="416"/>
      <c r="C24" s="416"/>
      <c r="D24" s="416"/>
      <c r="E24" s="416"/>
      <c r="F24" s="416"/>
      <c r="G24" s="416"/>
      <c r="H24" s="416"/>
    </row>
    <row r="25" spans="1:8" x14ac:dyDescent="0.3">
      <c r="A25" s="415"/>
      <c r="B25" s="416"/>
      <c r="C25" s="416"/>
      <c r="D25" s="416"/>
      <c r="E25" s="416"/>
      <c r="F25" s="416"/>
      <c r="G25" s="416"/>
      <c r="H25" s="416"/>
    </row>
    <row r="26" spans="1:8" x14ac:dyDescent="0.3">
      <c r="A26" s="415"/>
      <c r="B26" s="416"/>
      <c r="C26" s="416"/>
      <c r="D26" s="416"/>
      <c r="E26" s="416"/>
      <c r="F26" s="416"/>
      <c r="G26" s="416"/>
      <c r="H26" s="416"/>
    </row>
    <row r="27" spans="1:8" x14ac:dyDescent="0.3">
      <c r="A27" s="415"/>
      <c r="B27" s="416"/>
      <c r="C27" s="416"/>
      <c r="D27" s="416"/>
      <c r="E27" s="416"/>
      <c r="F27" s="416"/>
      <c r="G27" s="416"/>
      <c r="H27" s="416"/>
    </row>
    <row r="28" spans="1:8" x14ac:dyDescent="0.3">
      <c r="A28" s="417"/>
    </row>
  </sheetData>
  <pageMargins left="0.7" right="0.7" top="0.75" bottom="0.75" header="0.3" footer="0.3"/>
  <pageSetup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view="pageBreakPreview" zoomScaleNormal="100" zoomScaleSheetLayoutView="100" workbookViewId="0">
      <selection activeCell="E19" sqref="E19:H19"/>
    </sheetView>
  </sheetViews>
  <sheetFormatPr defaultRowHeight="13.8" x14ac:dyDescent="0.3"/>
  <cols>
    <col min="1" max="1" width="21.44140625" customWidth="1"/>
    <col min="2" max="2" width="25.44140625" customWidth="1"/>
    <col min="3" max="3" width="10.5546875" customWidth="1"/>
    <col min="4" max="4" width="10.88671875" bestFit="1" customWidth="1"/>
    <col min="5" max="5" width="10.33203125" customWidth="1"/>
    <col min="6" max="6" width="9.88671875" customWidth="1"/>
    <col min="7" max="7" width="10" bestFit="1" customWidth="1"/>
    <col min="8" max="8" width="10.109375" customWidth="1"/>
    <col min="9" max="9" width="14.88671875" customWidth="1"/>
    <col min="10" max="10" width="12.44140625" customWidth="1"/>
  </cols>
  <sheetData>
    <row r="1" spans="1:15" ht="20.25" customHeight="1" x14ac:dyDescent="0.3">
      <c r="A1" s="25" t="s">
        <v>716</v>
      </c>
      <c r="I1" s="247"/>
      <c r="J1" s="248"/>
    </row>
    <row r="2" spans="1:15" x14ac:dyDescent="0.3">
      <c r="A2" s="25" t="s">
        <v>267</v>
      </c>
    </row>
    <row r="3" spans="1:15" x14ac:dyDescent="0.3">
      <c r="A3" s="25" t="s">
        <v>268</v>
      </c>
    </row>
    <row r="4" spans="1:15" s="24" customFormat="1" x14ac:dyDescent="0.3">
      <c r="A4" s="246" t="s">
        <v>269</v>
      </c>
      <c r="I4" s="623" t="s">
        <v>412</v>
      </c>
      <c r="J4" s="624"/>
    </row>
    <row r="5" spans="1:15" s="24" customFormat="1" x14ac:dyDescent="0.3">
      <c r="A5" s="21" t="s">
        <v>3</v>
      </c>
      <c r="B5" s="21" t="s">
        <v>4</v>
      </c>
      <c r="C5" s="22">
        <v>2021</v>
      </c>
      <c r="D5" s="22">
        <f>C5+1</f>
        <v>2022</v>
      </c>
      <c r="E5" s="22">
        <f>D5+1</f>
        <v>2023</v>
      </c>
      <c r="F5" s="22">
        <f>E5+1</f>
        <v>2024</v>
      </c>
      <c r="G5" s="22">
        <f>F5+1</f>
        <v>2025</v>
      </c>
      <c r="H5" s="22">
        <f>G5+1</f>
        <v>2026</v>
      </c>
      <c r="I5" s="21" t="s">
        <v>3</v>
      </c>
      <c r="J5" s="21" t="s">
        <v>2</v>
      </c>
    </row>
    <row r="6" spans="1:15" s="322" customFormat="1" ht="27.6" x14ac:dyDescent="0.35">
      <c r="A6" s="282" t="s">
        <v>619</v>
      </c>
      <c r="B6" s="282" t="s">
        <v>620</v>
      </c>
      <c r="C6" s="368"/>
      <c r="E6" s="368">
        <v>80000</v>
      </c>
      <c r="F6" s="368"/>
      <c r="G6" s="368"/>
      <c r="H6" s="368"/>
      <c r="I6" s="535"/>
      <c r="J6" s="323"/>
    </row>
    <row r="7" spans="1:15" s="322" customFormat="1" ht="55.2" x14ac:dyDescent="0.35">
      <c r="A7" s="282" t="s">
        <v>621</v>
      </c>
      <c r="B7" s="282" t="s">
        <v>622</v>
      </c>
      <c r="C7" s="368"/>
      <c r="D7" s="368">
        <v>15000</v>
      </c>
      <c r="E7" s="368"/>
      <c r="F7" s="368"/>
      <c r="G7" s="368"/>
      <c r="H7" s="368"/>
      <c r="I7" s="535"/>
      <c r="J7" s="323"/>
    </row>
    <row r="8" spans="1:15" s="322" customFormat="1" ht="41.4" x14ac:dyDescent="0.35">
      <c r="A8" s="282" t="s">
        <v>623</v>
      </c>
      <c r="B8" s="282" t="s">
        <v>624</v>
      </c>
      <c r="C8" s="368"/>
      <c r="D8" s="368"/>
      <c r="E8" s="236"/>
      <c r="F8" s="368">
        <v>30000</v>
      </c>
      <c r="G8" s="368"/>
      <c r="H8" s="368"/>
      <c r="I8" s="535"/>
      <c r="J8" s="323"/>
    </row>
    <row r="9" spans="1:15" s="322" customFormat="1" ht="41.4" x14ac:dyDescent="0.35">
      <c r="A9" s="282" t="s">
        <v>625</v>
      </c>
      <c r="B9" s="282" t="s">
        <v>624</v>
      </c>
      <c r="C9" s="368"/>
      <c r="D9" s="368"/>
      <c r="E9" s="236"/>
      <c r="F9" s="236"/>
      <c r="G9" s="368">
        <v>30000</v>
      </c>
      <c r="H9" s="368"/>
      <c r="I9" s="535"/>
      <c r="J9" s="323"/>
    </row>
    <row r="10" spans="1:15" s="322" customFormat="1" ht="27.6" x14ac:dyDescent="0.35">
      <c r="A10" s="282" t="s">
        <v>626</v>
      </c>
      <c r="B10" s="282" t="s">
        <v>620</v>
      </c>
      <c r="C10" s="368"/>
      <c r="D10" s="368"/>
      <c r="F10" s="368"/>
      <c r="G10" s="236"/>
      <c r="H10" s="368">
        <v>80000</v>
      </c>
      <c r="I10" s="535"/>
      <c r="J10" s="323"/>
    </row>
    <row r="11" spans="1:15" s="322" customFormat="1" ht="27.6" x14ac:dyDescent="0.35">
      <c r="A11" s="282" t="s">
        <v>627</v>
      </c>
      <c r="B11" s="282" t="s">
        <v>628</v>
      </c>
      <c r="C11" s="368"/>
      <c r="D11" s="368"/>
      <c r="E11" s="368"/>
      <c r="F11" s="236"/>
      <c r="G11" s="368"/>
      <c r="I11" s="535"/>
      <c r="J11" s="368">
        <v>90000</v>
      </c>
    </row>
    <row r="12" spans="1:15" s="13" customFormat="1" ht="18" x14ac:dyDescent="0.35">
      <c r="A12" s="29"/>
      <c r="B12" s="20"/>
      <c r="C12" s="18"/>
      <c r="D12" s="19"/>
      <c r="E12" s="323"/>
      <c r="F12" s="323"/>
      <c r="G12" s="323"/>
      <c r="H12" s="17"/>
      <c r="I12" s="55" t="s">
        <v>9</v>
      </c>
      <c r="J12" s="17"/>
    </row>
    <row r="13" spans="1:15" ht="18" customHeight="1" thickBot="1" x14ac:dyDescent="0.35">
      <c r="A13" s="12"/>
      <c r="B13" s="11" t="s">
        <v>0</v>
      </c>
      <c r="C13" s="10">
        <f t="shared" ref="C13:H13" si="0">SUM(C6:C12)</f>
        <v>0</v>
      </c>
      <c r="D13" s="10">
        <f t="shared" si="0"/>
        <v>15000</v>
      </c>
      <c r="E13" s="10">
        <f>SUM(E6:E12)</f>
        <v>80000</v>
      </c>
      <c r="F13" s="10">
        <f t="shared" si="0"/>
        <v>30000</v>
      </c>
      <c r="G13" s="10">
        <f t="shared" si="0"/>
        <v>30000</v>
      </c>
      <c r="H13" s="10">
        <f t="shared" si="0"/>
        <v>80000</v>
      </c>
      <c r="I13" s="6">
        <f>SUM(C13:H13)</f>
        <v>235000</v>
      </c>
      <c r="J13" s="10">
        <f>SUM(J6:J12)</f>
        <v>90000</v>
      </c>
    </row>
    <row r="14" spans="1:15" ht="14.4" thickTop="1" x14ac:dyDescent="0.3">
      <c r="I14" s="102">
        <v>6</v>
      </c>
      <c r="J14" s="102"/>
    </row>
    <row r="15" spans="1:15" x14ac:dyDescent="0.3">
      <c r="B15" t="s">
        <v>411</v>
      </c>
      <c r="C15" s="17">
        <v>25000</v>
      </c>
      <c r="I15" s="113">
        <f>I13/I14</f>
        <v>39166.666666666664</v>
      </c>
      <c r="J15" s="102"/>
      <c r="L15" s="4"/>
      <c r="M15" s="4"/>
      <c r="N15" s="4"/>
      <c r="O15" s="4"/>
    </row>
    <row r="16" spans="1:15" x14ac:dyDescent="0.3">
      <c r="J16" s="102"/>
      <c r="L16" s="4"/>
      <c r="M16" s="4"/>
      <c r="N16" s="4"/>
      <c r="O16" s="4"/>
    </row>
    <row r="17" spans="2:15" x14ac:dyDescent="0.3">
      <c r="B17" s="109" t="s">
        <v>644</v>
      </c>
      <c r="C17" s="4">
        <v>53000</v>
      </c>
      <c r="D17" s="4">
        <f>C23</f>
        <v>21000</v>
      </c>
      <c r="E17" s="4">
        <f t="shared" ref="E17:H17" si="1">D23</f>
        <v>36000</v>
      </c>
      <c r="F17" s="4">
        <f t="shared" si="1"/>
        <v>-14000</v>
      </c>
      <c r="G17" s="4">
        <f t="shared" si="1"/>
        <v>-14000</v>
      </c>
      <c r="H17" s="4">
        <f t="shared" si="1"/>
        <v>36000</v>
      </c>
      <c r="L17" s="4"/>
      <c r="M17" s="4"/>
      <c r="N17" s="4"/>
      <c r="O17" s="4"/>
    </row>
    <row r="18" spans="2:15" s="319" customFormat="1" x14ac:dyDescent="0.3">
      <c r="B18" s="334" t="s">
        <v>637</v>
      </c>
      <c r="C18" s="324">
        <v>-52000</v>
      </c>
      <c r="D18" s="324">
        <v>0</v>
      </c>
      <c r="E18" s="324">
        <v>0</v>
      </c>
      <c r="F18" s="324">
        <v>0</v>
      </c>
      <c r="G18" s="324">
        <v>0</v>
      </c>
      <c r="H18" s="324">
        <v>0</v>
      </c>
      <c r="L18" s="324"/>
      <c r="M18" s="324"/>
      <c r="N18" s="324"/>
      <c r="O18" s="324"/>
    </row>
    <row r="19" spans="2:15" x14ac:dyDescent="0.3">
      <c r="B19" s="65" t="s">
        <v>281</v>
      </c>
      <c r="C19" s="4">
        <v>20000</v>
      </c>
      <c r="D19" s="4">
        <v>30000</v>
      </c>
      <c r="E19" s="157">
        <f t="shared" ref="E19" si="2">D19</f>
        <v>30000</v>
      </c>
      <c r="F19" s="324">
        <f t="shared" ref="F19" si="3">E19</f>
        <v>30000</v>
      </c>
      <c r="G19" s="324">
        <f t="shared" ref="G19" si="4">F19</f>
        <v>30000</v>
      </c>
      <c r="H19" s="324">
        <f t="shared" ref="H19" si="5">G19</f>
        <v>30000</v>
      </c>
      <c r="L19" s="4"/>
      <c r="M19" s="4"/>
      <c r="N19" s="4"/>
      <c r="O19" s="4"/>
    </row>
    <row r="20" spans="2:15" s="319" customFormat="1" x14ac:dyDescent="0.3">
      <c r="B20" s="65" t="s">
        <v>84</v>
      </c>
      <c r="C20" s="324">
        <v>0</v>
      </c>
      <c r="D20" s="324">
        <v>0</v>
      </c>
      <c r="E20" s="324">
        <v>0</v>
      </c>
      <c r="F20" s="324">
        <v>0</v>
      </c>
      <c r="G20" s="324">
        <v>25000</v>
      </c>
      <c r="H20" s="324">
        <v>25000</v>
      </c>
      <c r="L20" s="324"/>
      <c r="M20" s="324"/>
      <c r="N20" s="324"/>
      <c r="O20" s="324"/>
    </row>
    <row r="21" spans="2:15" s="319" customFormat="1" x14ac:dyDescent="0.3">
      <c r="B21" s="65" t="s">
        <v>629</v>
      </c>
      <c r="C21" s="324">
        <v>0</v>
      </c>
      <c r="D21" s="324">
        <v>0</v>
      </c>
      <c r="E21" s="324">
        <v>0</v>
      </c>
      <c r="F21" s="324">
        <v>0</v>
      </c>
      <c r="G21" s="324">
        <v>25000</v>
      </c>
      <c r="H21" s="324">
        <v>35000</v>
      </c>
      <c r="L21" s="324"/>
      <c r="M21" s="324"/>
      <c r="N21" s="324"/>
      <c r="O21" s="324"/>
    </row>
    <row r="22" spans="2:15" ht="15.6" x14ac:dyDescent="0.45">
      <c r="B22" s="65" t="s">
        <v>36</v>
      </c>
      <c r="C22" s="56">
        <f t="shared" ref="C22:H22" si="6">-C13</f>
        <v>0</v>
      </c>
      <c r="D22" s="56">
        <f t="shared" si="6"/>
        <v>-15000</v>
      </c>
      <c r="E22" s="56">
        <f t="shared" si="6"/>
        <v>-80000</v>
      </c>
      <c r="F22" s="56">
        <f t="shared" si="6"/>
        <v>-30000</v>
      </c>
      <c r="G22" s="56">
        <f t="shared" si="6"/>
        <v>-30000</v>
      </c>
      <c r="H22" s="56">
        <f t="shared" si="6"/>
        <v>-80000</v>
      </c>
      <c r="N22" s="4"/>
      <c r="O22" s="4"/>
    </row>
    <row r="23" spans="2:15" ht="15.6" x14ac:dyDescent="0.45">
      <c r="B23" s="79" t="s">
        <v>37</v>
      </c>
      <c r="C23" s="63">
        <f>SUM(C17:C22)</f>
        <v>21000</v>
      </c>
      <c r="D23" s="63">
        <f t="shared" ref="D23:H23" si="7">SUM(D17:D22)</f>
        <v>36000</v>
      </c>
      <c r="E23" s="63">
        <f t="shared" si="7"/>
        <v>-14000</v>
      </c>
      <c r="F23" s="63">
        <f t="shared" si="7"/>
        <v>-14000</v>
      </c>
      <c r="G23" s="63">
        <f t="shared" si="7"/>
        <v>36000</v>
      </c>
      <c r="H23" s="63">
        <f t="shared" si="7"/>
        <v>46000</v>
      </c>
      <c r="N23" s="4"/>
      <c r="O23" s="4"/>
    </row>
  </sheetData>
  <mergeCells count="1">
    <mergeCell ref="I4:J4"/>
  </mergeCells>
  <pageMargins left="0.7" right="0.7" top="0.75" bottom="0.75" header="0.3" footer="0.3"/>
  <pageSetup orientation="landscape" r:id="rId1"/>
  <headerFooter>
    <oddHeader>&amp;C&amp;"-,Bold"&amp;12CIP DEPARTMENT INFORMATION REQUEST FORM
DEPARTMENT:  FIRE PONDS</oddHeader>
    <oddFooter xml:space="preserve">&amp;L&amp;A&amp;RPage &amp;P of &amp;N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view="pageBreakPreview" zoomScale="106" zoomScaleNormal="100" zoomScaleSheetLayoutView="106" workbookViewId="0"/>
  </sheetViews>
  <sheetFormatPr defaultRowHeight="13.8" x14ac:dyDescent="0.3"/>
  <cols>
    <col min="1" max="1" width="146.44140625" customWidth="1"/>
  </cols>
  <sheetData>
    <row r="1" spans="1:1" x14ac:dyDescent="0.3">
      <c r="A1" t="s">
        <v>716</v>
      </c>
    </row>
    <row r="2" spans="1:1" x14ac:dyDescent="0.3">
      <c r="A2" s="536" t="s">
        <v>630</v>
      </c>
    </row>
    <row r="4" spans="1:1" ht="89.25" customHeight="1" x14ac:dyDescent="0.3">
      <c r="A4" s="539" t="s">
        <v>631</v>
      </c>
    </row>
    <row r="5" spans="1:1" x14ac:dyDescent="0.3">
      <c r="A5" s="537"/>
    </row>
    <row r="6" spans="1:1" ht="72" customHeight="1" x14ac:dyDescent="0.3">
      <c r="A6" s="540" t="s">
        <v>632</v>
      </c>
    </row>
    <row r="7" spans="1:1" ht="58.5" customHeight="1" x14ac:dyDescent="0.3">
      <c r="A7" s="540" t="s">
        <v>633</v>
      </c>
    </row>
    <row r="8" spans="1:1" ht="42" customHeight="1" x14ac:dyDescent="0.3">
      <c r="A8" s="540" t="s">
        <v>634</v>
      </c>
    </row>
    <row r="9" spans="1:1" ht="41.25" customHeight="1" x14ac:dyDescent="0.3">
      <c r="A9" s="540" t="s">
        <v>635</v>
      </c>
    </row>
    <row r="10" spans="1:1" ht="80.25" customHeight="1" x14ac:dyDescent="0.3">
      <c r="A10" s="538" t="s">
        <v>636</v>
      </c>
    </row>
  </sheetData>
  <pageMargins left="0.7" right="0.7" top="0.75" bottom="0.75" header="0.3" footer="0.3"/>
  <pageSetup fitToWidth="0" fitToHeight="0" orientation="landscape" r:id="rId1"/>
  <colBreaks count="1" manualBreakCount="1">
    <brk id="1" max="9"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view="pageBreakPreview" zoomScaleNormal="100" zoomScaleSheetLayoutView="100" workbookViewId="0">
      <selection activeCell="C20" sqref="C20"/>
    </sheetView>
  </sheetViews>
  <sheetFormatPr defaultRowHeight="13.8" x14ac:dyDescent="0.3"/>
  <cols>
    <col min="1" max="1" width="19.6640625" customWidth="1"/>
    <col min="2" max="2" width="26.88671875" customWidth="1"/>
    <col min="3" max="3" width="10.5546875" customWidth="1"/>
    <col min="4" max="4" width="10.88671875" bestFit="1" customWidth="1"/>
    <col min="5" max="5" width="10.33203125" customWidth="1"/>
    <col min="6" max="6" width="9.88671875" customWidth="1"/>
    <col min="7" max="7" width="10" bestFit="1" customWidth="1"/>
    <col min="8" max="8" width="10.109375" customWidth="1"/>
    <col min="9" max="9" width="14.88671875" customWidth="1"/>
    <col min="10" max="10" width="12.44140625" customWidth="1"/>
  </cols>
  <sheetData>
    <row r="1" spans="1:15" ht="20.25" customHeight="1" x14ac:dyDescent="0.3">
      <c r="A1" s="320" t="s">
        <v>716</v>
      </c>
      <c r="I1" s="247"/>
      <c r="J1" s="248"/>
    </row>
    <row r="2" spans="1:15" x14ac:dyDescent="0.3">
      <c r="A2" s="320" t="s">
        <v>267</v>
      </c>
    </row>
    <row r="3" spans="1:15" x14ac:dyDescent="0.3">
      <c r="A3" s="320" t="s">
        <v>268</v>
      </c>
    </row>
    <row r="4" spans="1:15" s="24" customFormat="1" x14ac:dyDescent="0.3">
      <c r="A4" s="327" t="s">
        <v>269</v>
      </c>
      <c r="I4" s="623" t="s">
        <v>412</v>
      </c>
      <c r="J4" s="624"/>
    </row>
    <row r="5" spans="1:15" s="24" customFormat="1" x14ac:dyDescent="0.3">
      <c r="A5" s="21" t="s">
        <v>3</v>
      </c>
      <c r="B5" s="21" t="s">
        <v>4</v>
      </c>
      <c r="C5" s="22">
        <v>2021</v>
      </c>
      <c r="D5" s="22">
        <f>C5+1</f>
        <v>2022</v>
      </c>
      <c r="E5" s="22">
        <f>D5+1</f>
        <v>2023</v>
      </c>
      <c r="F5" s="22">
        <f>E5+1</f>
        <v>2024</v>
      </c>
      <c r="G5" s="22">
        <f>F5+1</f>
        <v>2025</v>
      </c>
      <c r="H5" s="22">
        <f>G5+1</f>
        <v>2026</v>
      </c>
      <c r="I5" s="21" t="s">
        <v>3</v>
      </c>
      <c r="J5" s="21" t="s">
        <v>2</v>
      </c>
    </row>
    <row r="6" spans="1:15" x14ac:dyDescent="0.3">
      <c r="A6" s="158" t="s">
        <v>74</v>
      </c>
      <c r="B6" s="158" t="s">
        <v>75</v>
      </c>
      <c r="C6" s="61">
        <v>5000</v>
      </c>
      <c r="D6" s="61"/>
      <c r="E6" s="61"/>
      <c r="F6" s="61"/>
      <c r="G6" s="61"/>
      <c r="H6" s="61"/>
      <c r="I6" s="28"/>
      <c r="J6" s="17"/>
    </row>
    <row r="7" spans="1:15" s="102" customFormat="1" ht="43.5" customHeight="1" x14ac:dyDescent="0.3">
      <c r="A7" s="158" t="s">
        <v>169</v>
      </c>
      <c r="B7" s="158" t="s">
        <v>611</v>
      </c>
      <c r="C7" s="61">
        <v>10000</v>
      </c>
      <c r="D7" s="61">
        <v>5000</v>
      </c>
      <c r="E7" s="61">
        <v>5000</v>
      </c>
      <c r="F7" s="61">
        <v>5000</v>
      </c>
      <c r="G7" s="61">
        <v>5000</v>
      </c>
      <c r="H7" s="61">
        <v>5000</v>
      </c>
      <c r="I7" s="28"/>
      <c r="J7" s="17"/>
    </row>
    <row r="8" spans="1:15" s="13" customFormat="1" ht="27.6" x14ac:dyDescent="0.35">
      <c r="A8" s="158" t="s">
        <v>170</v>
      </c>
      <c r="B8" s="158"/>
      <c r="C8" s="61">
        <v>45000</v>
      </c>
      <c r="D8" s="61"/>
      <c r="E8" s="61"/>
      <c r="F8" s="61"/>
      <c r="G8" s="61"/>
      <c r="H8" s="61"/>
      <c r="I8" s="28"/>
      <c r="J8" s="17"/>
    </row>
    <row r="9" spans="1:15" s="13" customFormat="1" ht="42.75" customHeight="1" x14ac:dyDescent="0.35">
      <c r="A9" s="158" t="s">
        <v>171</v>
      </c>
      <c r="B9" s="158" t="s">
        <v>172</v>
      </c>
      <c r="C9" s="61">
        <v>25000</v>
      </c>
      <c r="D9" s="61"/>
      <c r="E9" s="61"/>
      <c r="F9" s="61"/>
      <c r="G9" s="236"/>
      <c r="H9" s="61"/>
      <c r="I9" s="534" t="s">
        <v>612</v>
      </c>
      <c r="J9" s="313"/>
    </row>
    <row r="10" spans="1:15" s="13" customFormat="1" ht="18" x14ac:dyDescent="0.35">
      <c r="A10" s="158" t="s">
        <v>173</v>
      </c>
      <c r="B10" s="158" t="s">
        <v>150</v>
      </c>
      <c r="C10" s="61"/>
      <c r="D10" s="61">
        <v>35000</v>
      </c>
      <c r="E10" s="61"/>
      <c r="F10" s="61"/>
      <c r="G10" s="236"/>
      <c r="H10" s="61"/>
      <c r="I10" s="294"/>
      <c r="J10" s="17"/>
    </row>
    <row r="11" spans="1:15" s="155" customFormat="1" ht="18" x14ac:dyDescent="0.35">
      <c r="A11" s="158" t="s">
        <v>51</v>
      </c>
      <c r="B11" s="158" t="s">
        <v>52</v>
      </c>
      <c r="C11" s="159"/>
      <c r="D11" s="323"/>
      <c r="E11" s="323"/>
      <c r="F11" s="323">
        <v>232500</v>
      </c>
      <c r="G11" s="236"/>
      <c r="H11" s="236"/>
      <c r="I11" s="294"/>
      <c r="J11" s="156"/>
    </row>
    <row r="12" spans="1:15" s="13" customFormat="1" ht="18" x14ac:dyDescent="0.35">
      <c r="A12" s="154"/>
      <c r="B12" s="154"/>
      <c r="C12" s="154"/>
      <c r="D12" s="154"/>
      <c r="E12" s="154"/>
      <c r="F12" s="154"/>
      <c r="G12" s="154"/>
      <c r="H12" s="154"/>
      <c r="I12" s="154"/>
      <c r="J12" s="17"/>
    </row>
    <row r="13" spans="1:15" s="13" customFormat="1" ht="18" x14ac:dyDescent="0.35">
      <c r="A13" s="29"/>
      <c r="B13" s="20"/>
      <c r="C13" s="18"/>
      <c r="D13" s="19"/>
      <c r="E13" s="18"/>
      <c r="F13" s="17"/>
      <c r="G13" s="17"/>
      <c r="H13" s="17"/>
      <c r="I13" s="62" t="s">
        <v>9</v>
      </c>
      <c r="J13" s="17"/>
    </row>
    <row r="14" spans="1:15" ht="28.5" customHeight="1" thickBot="1" x14ac:dyDescent="0.35">
      <c r="A14" s="12"/>
      <c r="B14" s="11" t="s">
        <v>0</v>
      </c>
      <c r="C14" s="10">
        <f t="shared" ref="C14:H14" si="0">SUM(C6:C13)</f>
        <v>85000</v>
      </c>
      <c r="D14" s="10">
        <f t="shared" si="0"/>
        <v>40000</v>
      </c>
      <c r="E14" s="10">
        <f t="shared" si="0"/>
        <v>5000</v>
      </c>
      <c r="F14" s="10">
        <f t="shared" si="0"/>
        <v>237500</v>
      </c>
      <c r="G14" s="10">
        <f t="shared" si="0"/>
        <v>5000</v>
      </c>
      <c r="H14" s="10">
        <f t="shared" si="0"/>
        <v>5000</v>
      </c>
      <c r="I14" s="10">
        <f>SUM(C14:H14)</f>
        <v>377500</v>
      </c>
      <c r="J14" s="10">
        <f>SUM(J6:J13)</f>
        <v>0</v>
      </c>
    </row>
    <row r="15" spans="1:15" ht="14.4" thickTop="1" x14ac:dyDescent="0.3">
      <c r="I15" s="4"/>
      <c r="J15" s="102"/>
    </row>
    <row r="16" spans="1:15" x14ac:dyDescent="0.3">
      <c r="B16" t="s">
        <v>411</v>
      </c>
      <c r="C16" s="17">
        <v>20000</v>
      </c>
      <c r="I16" s="4"/>
      <c r="J16" s="102"/>
      <c r="L16" s="4"/>
      <c r="M16" s="4"/>
      <c r="N16" s="4"/>
      <c r="O16" s="4"/>
    </row>
    <row r="17" spans="2:15" x14ac:dyDescent="0.3">
      <c r="J17" s="102"/>
      <c r="L17" s="4"/>
      <c r="M17" s="4"/>
      <c r="N17" s="4"/>
      <c r="O17" s="4"/>
    </row>
    <row r="18" spans="2:15" x14ac:dyDescent="0.3">
      <c r="B18" s="109" t="s">
        <v>644</v>
      </c>
      <c r="C18" s="4">
        <v>63000</v>
      </c>
      <c r="D18" s="4">
        <f>C24</f>
        <v>-18250</v>
      </c>
      <c r="E18" s="4">
        <f t="shared" ref="E18:H18" si="1">D24</f>
        <v>-7250</v>
      </c>
      <c r="F18" s="4">
        <f t="shared" si="1"/>
        <v>-1500</v>
      </c>
      <c r="G18" s="4">
        <f t="shared" si="1"/>
        <v>39125</v>
      </c>
      <c r="H18" s="4">
        <f t="shared" si="1"/>
        <v>39875</v>
      </c>
      <c r="J18" s="102"/>
      <c r="L18" s="4"/>
      <c r="M18" s="4"/>
      <c r="N18" s="4"/>
      <c r="O18" s="4"/>
    </row>
    <row r="19" spans="2:15" s="319" customFormat="1" x14ac:dyDescent="0.3">
      <c r="B19" s="65" t="s">
        <v>743</v>
      </c>
      <c r="C19" s="324">
        <v>-19000</v>
      </c>
      <c r="D19" s="324">
        <v>0</v>
      </c>
      <c r="E19" s="324">
        <v>0</v>
      </c>
      <c r="F19" s="324">
        <v>0</v>
      </c>
      <c r="G19" s="324">
        <v>0</v>
      </c>
      <c r="H19" s="324">
        <v>0</v>
      </c>
      <c r="L19" s="324"/>
      <c r="M19" s="324"/>
      <c r="N19" s="324"/>
      <c r="O19" s="324"/>
    </row>
    <row r="20" spans="2:15" x14ac:dyDescent="0.3">
      <c r="B20" s="65" t="s">
        <v>281</v>
      </c>
      <c r="C20" s="4">
        <v>10000</v>
      </c>
      <c r="D20" s="4">
        <f>C20</f>
        <v>10000</v>
      </c>
      <c r="E20" s="4">
        <f t="shared" ref="E20:H20" si="2">D20</f>
        <v>10000</v>
      </c>
      <c r="F20" s="4">
        <f t="shared" si="2"/>
        <v>10000</v>
      </c>
      <c r="G20" s="160">
        <v>5000</v>
      </c>
      <c r="H20" s="4">
        <f t="shared" si="2"/>
        <v>5000</v>
      </c>
      <c r="L20" s="4"/>
      <c r="M20" s="4"/>
      <c r="N20" s="4"/>
      <c r="O20" s="4"/>
    </row>
    <row r="21" spans="2:15" s="176" customFormat="1" x14ac:dyDescent="0.3">
      <c r="B21" s="65" t="s">
        <v>264</v>
      </c>
      <c r="C21" s="239">
        <f t="shared" ref="C21:H21" si="3">0.15*C14</f>
        <v>12750</v>
      </c>
      <c r="D21" s="239">
        <f t="shared" si="3"/>
        <v>6000</v>
      </c>
      <c r="E21" s="239">
        <f t="shared" si="3"/>
        <v>750</v>
      </c>
      <c r="F21" s="239">
        <f t="shared" si="3"/>
        <v>35625</v>
      </c>
      <c r="G21" s="239">
        <f t="shared" si="3"/>
        <v>750</v>
      </c>
      <c r="H21" s="239">
        <f t="shared" si="3"/>
        <v>750</v>
      </c>
      <c r="L21" s="239"/>
      <c r="M21" s="239"/>
      <c r="N21" s="239"/>
      <c r="O21" s="239"/>
    </row>
    <row r="22" spans="2:15" s="102" customFormat="1" x14ac:dyDescent="0.3">
      <c r="B22" s="65" t="s">
        <v>150</v>
      </c>
      <c r="C22" s="4">
        <v>0</v>
      </c>
      <c r="D22" s="4">
        <f>D10</f>
        <v>35000</v>
      </c>
      <c r="E22" s="4">
        <v>0</v>
      </c>
      <c r="F22" s="239">
        <f>F11</f>
        <v>232500</v>
      </c>
      <c r="G22" s="4">
        <v>0</v>
      </c>
      <c r="H22" s="239">
        <v>0</v>
      </c>
      <c r="L22" s="4"/>
      <c r="M22" s="4"/>
      <c r="N22" s="4"/>
      <c r="O22" s="4"/>
    </row>
    <row r="23" spans="2:15" ht="15.6" x14ac:dyDescent="0.45">
      <c r="B23" s="65" t="s">
        <v>36</v>
      </c>
      <c r="C23" s="56">
        <f t="shared" ref="C23:H23" si="4">-C14</f>
        <v>-85000</v>
      </c>
      <c r="D23" s="56">
        <f t="shared" si="4"/>
        <v>-40000</v>
      </c>
      <c r="E23" s="56">
        <f t="shared" si="4"/>
        <v>-5000</v>
      </c>
      <c r="F23" s="56">
        <f t="shared" si="4"/>
        <v>-237500</v>
      </c>
      <c r="G23" s="56">
        <f t="shared" si="4"/>
        <v>-5000</v>
      </c>
      <c r="H23" s="56">
        <f t="shared" si="4"/>
        <v>-5000</v>
      </c>
      <c r="N23" s="4"/>
      <c r="O23" s="4"/>
    </row>
    <row r="24" spans="2:15" ht="15.6" x14ac:dyDescent="0.45">
      <c r="B24" s="79" t="s">
        <v>37</v>
      </c>
      <c r="C24" s="63">
        <f>SUM(C18:C23)</f>
        <v>-18250</v>
      </c>
      <c r="D24" s="63">
        <f t="shared" ref="D24:H24" si="5">SUM(D18:D23)</f>
        <v>-7250</v>
      </c>
      <c r="E24" s="63">
        <f t="shared" si="5"/>
        <v>-1500</v>
      </c>
      <c r="F24" s="63">
        <f t="shared" si="5"/>
        <v>39125</v>
      </c>
      <c r="G24" s="63">
        <f t="shared" si="5"/>
        <v>39875</v>
      </c>
      <c r="H24" s="63">
        <f t="shared" si="5"/>
        <v>40625</v>
      </c>
      <c r="N24" s="4"/>
      <c r="O24" s="4"/>
    </row>
    <row r="26" spans="2:15" x14ac:dyDescent="0.3">
      <c r="B26" s="419" t="s">
        <v>151</v>
      </c>
      <c r="D26" s="180">
        <f>D22</f>
        <v>35000</v>
      </c>
      <c r="F26" s="180">
        <f>F22</f>
        <v>232500</v>
      </c>
      <c r="H26" s="180">
        <f>H22</f>
        <v>0</v>
      </c>
    </row>
    <row r="27" spans="2:15" x14ac:dyDescent="0.3">
      <c r="C27" s="92" t="s">
        <v>58</v>
      </c>
      <c r="D27" s="102">
        <v>5</v>
      </c>
      <c r="F27" s="176">
        <v>7</v>
      </c>
      <c r="H27" s="176">
        <v>7</v>
      </c>
    </row>
    <row r="28" spans="2:15" x14ac:dyDescent="0.3">
      <c r="C28" s="92" t="s">
        <v>59</v>
      </c>
      <c r="D28" s="91">
        <v>0.03</v>
      </c>
      <c r="F28" s="91">
        <v>3.5000000000000003E-2</v>
      </c>
      <c r="H28" s="91">
        <v>0.03</v>
      </c>
    </row>
    <row r="29" spans="2:15" x14ac:dyDescent="0.3">
      <c r="C29" s="92" t="s">
        <v>60</v>
      </c>
      <c r="D29" s="35">
        <f>PMT(D28,D27,D26)</f>
        <v>-7642.4099990201612</v>
      </c>
      <c r="F29" s="35">
        <f>PMT(F28,F27,F26)</f>
        <v>-38024.094804600747</v>
      </c>
      <c r="H29" s="35">
        <f>PMT(H28,H27,H26)</f>
        <v>0</v>
      </c>
    </row>
  </sheetData>
  <mergeCells count="1">
    <mergeCell ref="I4:J4"/>
  </mergeCells>
  <pageMargins left="0.7" right="0.7" top="0.75" bottom="0.75" header="0.3" footer="0.3"/>
  <pageSetup orientation="landscape" r:id="rId1"/>
  <headerFooter>
    <oddHeader>&amp;C&amp;"-,Bold"&amp;12CIP DEPARTMENT INFORMATION REQUEST FORM
DEPARTMENT:  FIRE TOOLS &amp; EQUIPMENT</oddHeader>
    <oddFooter xml:space="preserve">&amp;L&amp;A&amp;RPage &amp;P of &amp;N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view="pageBreakPreview" topLeftCell="A7" zoomScaleNormal="100" zoomScaleSheetLayoutView="100" workbookViewId="0">
      <selection activeCell="P21" sqref="P21"/>
    </sheetView>
  </sheetViews>
  <sheetFormatPr defaultColWidth="9.109375" defaultRowHeight="13.8" x14ac:dyDescent="0.3"/>
  <cols>
    <col min="1" max="1" width="19.6640625" style="102" customWidth="1"/>
    <col min="2" max="2" width="25.88671875" style="103" customWidth="1"/>
    <col min="3" max="3" width="10.5546875" style="102" customWidth="1"/>
    <col min="4" max="4" width="10.88671875" style="102" bestFit="1" customWidth="1"/>
    <col min="5" max="5" width="10.33203125" style="102" customWidth="1"/>
    <col min="6" max="6" width="12.44140625" style="102" customWidth="1"/>
    <col min="7" max="7" width="11.109375" style="102" customWidth="1"/>
    <col min="8" max="8" width="10.88671875" style="102" customWidth="1"/>
    <col min="9" max="9" width="14.88671875" style="102" customWidth="1"/>
    <col min="10" max="10" width="12.44140625" style="102" customWidth="1"/>
    <col min="11" max="11" width="9.109375" style="102"/>
    <col min="12" max="12" width="12.44140625" style="324" bestFit="1" customWidth="1"/>
    <col min="13" max="16384" width="9.109375" style="102"/>
  </cols>
  <sheetData>
    <row r="1" spans="1:12" ht="20.25" customHeight="1" x14ac:dyDescent="0.3">
      <c r="A1" s="320" t="s">
        <v>716</v>
      </c>
      <c r="I1" s="247"/>
      <c r="J1" s="248"/>
    </row>
    <row r="2" spans="1:12" x14ac:dyDescent="0.3">
      <c r="A2" s="320" t="s">
        <v>267</v>
      </c>
    </row>
    <row r="3" spans="1:12" x14ac:dyDescent="0.3">
      <c r="A3" s="320" t="s">
        <v>268</v>
      </c>
    </row>
    <row r="4" spans="1:12" s="24" customFormat="1" x14ac:dyDescent="0.3">
      <c r="A4" s="327" t="s">
        <v>269</v>
      </c>
      <c r="B4" s="593"/>
      <c r="I4" s="623" t="s">
        <v>412</v>
      </c>
      <c r="J4" s="624"/>
      <c r="L4" s="43"/>
    </row>
    <row r="5" spans="1:12" s="24" customFormat="1" x14ac:dyDescent="0.3">
      <c r="A5" s="21" t="s">
        <v>3</v>
      </c>
      <c r="B5" s="280" t="s">
        <v>4</v>
      </c>
      <c r="C5" s="22">
        <v>2021</v>
      </c>
      <c r="D5" s="22">
        <f>C5+1</f>
        <v>2022</v>
      </c>
      <c r="E5" s="22">
        <f>D5+1</f>
        <v>2023</v>
      </c>
      <c r="F5" s="22">
        <f>E5+1</f>
        <v>2024</v>
      </c>
      <c r="G5" s="22">
        <f>F5+1</f>
        <v>2025</v>
      </c>
      <c r="H5" s="22">
        <f>G5+1</f>
        <v>2026</v>
      </c>
      <c r="I5" s="21" t="s">
        <v>3</v>
      </c>
      <c r="J5" s="21" t="s">
        <v>2</v>
      </c>
      <c r="L5" s="43"/>
    </row>
    <row r="6" spans="1:12" ht="27.6" x14ac:dyDescent="0.3">
      <c r="A6" s="330" t="s">
        <v>77</v>
      </c>
      <c r="B6" s="276"/>
      <c r="C6" s="331">
        <v>12000</v>
      </c>
      <c r="D6" s="331"/>
      <c r="E6" s="221"/>
      <c r="F6" s="221"/>
      <c r="G6" s="221"/>
      <c r="H6" s="221"/>
      <c r="I6" s="221"/>
      <c r="J6" s="221"/>
    </row>
    <row r="7" spans="1:12" s="106" customFormat="1" ht="27.6" x14ac:dyDescent="0.35">
      <c r="A7" s="330" t="s">
        <v>78</v>
      </c>
      <c r="B7" s="276"/>
      <c r="C7" s="331">
        <v>53000</v>
      </c>
      <c r="D7" s="331"/>
      <c r="E7" s="221"/>
      <c r="F7" s="221"/>
      <c r="G7" s="221"/>
      <c r="H7" s="221"/>
      <c r="I7" s="221"/>
      <c r="J7" s="221"/>
      <c r="L7" s="597"/>
    </row>
    <row r="8" spans="1:12" s="106" customFormat="1" ht="41.4" x14ac:dyDescent="0.35">
      <c r="A8" s="330" t="s">
        <v>79</v>
      </c>
      <c r="B8" s="276" t="s">
        <v>174</v>
      </c>
      <c r="C8" s="331"/>
      <c r="D8" s="331"/>
      <c r="E8" s="221"/>
      <c r="F8" s="221"/>
      <c r="G8" s="221"/>
      <c r="H8" s="221"/>
      <c r="I8" s="655" t="s">
        <v>748</v>
      </c>
      <c r="J8" s="221">
        <v>12000</v>
      </c>
      <c r="L8" s="597"/>
    </row>
    <row r="9" spans="1:12" s="322" customFormat="1" ht="18" x14ac:dyDescent="0.35">
      <c r="A9" s="330" t="s">
        <v>739</v>
      </c>
      <c r="B9" s="276"/>
      <c r="C9" s="331"/>
      <c r="D9" s="331"/>
      <c r="E9" s="221"/>
      <c r="F9" s="221"/>
      <c r="G9" s="221"/>
      <c r="H9" s="221"/>
      <c r="I9" s="658"/>
      <c r="J9" s="221">
        <v>35000</v>
      </c>
      <c r="L9" s="597"/>
    </row>
    <row r="10" spans="1:12" s="106" customFormat="1" ht="27.6" x14ac:dyDescent="0.35">
      <c r="A10" s="330" t="s">
        <v>80</v>
      </c>
      <c r="B10" s="276" t="s">
        <v>81</v>
      </c>
      <c r="C10" s="236"/>
      <c r="D10" s="236"/>
      <c r="E10" s="549">
        <v>50000</v>
      </c>
      <c r="F10" s="333"/>
      <c r="G10" s="221"/>
      <c r="H10" s="221"/>
      <c r="I10" s="221" t="s">
        <v>761</v>
      </c>
      <c r="J10" s="221"/>
      <c r="L10" s="597"/>
    </row>
    <row r="11" spans="1:12" s="106" customFormat="1" ht="27.6" x14ac:dyDescent="0.35">
      <c r="A11" s="330" t="s">
        <v>80</v>
      </c>
      <c r="B11" s="276" t="s">
        <v>82</v>
      </c>
      <c r="C11" s="236"/>
      <c r="D11" s="236"/>
      <c r="E11" s="549">
        <v>50000</v>
      </c>
      <c r="F11" s="333"/>
      <c r="G11" s="221"/>
      <c r="H11" s="221"/>
      <c r="I11" s="221" t="s">
        <v>761</v>
      </c>
      <c r="J11" s="221"/>
      <c r="L11" s="597"/>
    </row>
    <row r="12" spans="1:12" s="106" customFormat="1" ht="18" x14ac:dyDescent="0.35">
      <c r="A12" s="330" t="s">
        <v>319</v>
      </c>
      <c r="B12" s="276" t="s">
        <v>337</v>
      </c>
      <c r="C12" s="549"/>
      <c r="D12" s="333">
        <v>10000</v>
      </c>
      <c r="E12" s="236"/>
      <c r="F12" s="333"/>
      <c r="G12" s="221"/>
      <c r="H12" s="221"/>
      <c r="I12" s="221" t="s">
        <v>760</v>
      </c>
      <c r="J12" s="221"/>
      <c r="L12" s="597"/>
    </row>
    <row r="13" spans="1:12" s="164" customFormat="1" ht="27.6" x14ac:dyDescent="0.35">
      <c r="A13" s="330" t="s">
        <v>83</v>
      </c>
      <c r="B13" s="276"/>
      <c r="C13" s="331"/>
      <c r="D13" s="236"/>
      <c r="E13" s="549">
        <v>100000</v>
      </c>
      <c r="F13" s="333"/>
      <c r="G13" s="221"/>
      <c r="H13" s="221"/>
      <c r="I13" s="221"/>
      <c r="J13" s="221"/>
      <c r="L13" s="597"/>
    </row>
    <row r="14" spans="1:12" s="178" customFormat="1" ht="27.6" x14ac:dyDescent="0.35">
      <c r="A14" s="330" t="s">
        <v>193</v>
      </c>
      <c r="B14" s="276" t="s">
        <v>678</v>
      </c>
      <c r="C14" s="333">
        <v>3000000</v>
      </c>
      <c r="E14" s="333"/>
      <c r="G14" s="221"/>
      <c r="H14" s="221"/>
      <c r="I14" s="595" t="s">
        <v>759</v>
      </c>
      <c r="J14" s="221"/>
      <c r="L14" s="597"/>
    </row>
    <row r="15" spans="1:12" s="106" customFormat="1" ht="18" x14ac:dyDescent="0.35">
      <c r="A15" s="330" t="s">
        <v>676</v>
      </c>
      <c r="B15" s="77" t="s">
        <v>674</v>
      </c>
      <c r="C15" s="331">
        <v>70000</v>
      </c>
      <c r="D15" s="294"/>
      <c r="E15" s="294"/>
      <c r="F15" s="294"/>
      <c r="G15" s="221"/>
      <c r="H15" s="221"/>
      <c r="I15" s="221"/>
      <c r="J15" s="221"/>
      <c r="L15" s="597"/>
    </row>
    <row r="16" spans="1:12" s="106" customFormat="1" ht="18" x14ac:dyDescent="0.35">
      <c r="A16" s="236"/>
      <c r="B16" s="578"/>
      <c r="C16" s="236"/>
      <c r="D16" s="236"/>
      <c r="E16" s="236"/>
      <c r="F16" s="236"/>
      <c r="G16" s="221"/>
      <c r="H16" s="221"/>
      <c r="I16" s="221" t="s">
        <v>9</v>
      </c>
      <c r="J16" s="221"/>
      <c r="L16" s="597"/>
    </row>
    <row r="17" spans="1:15" ht="21.75" customHeight="1" thickBot="1" x14ac:dyDescent="0.35">
      <c r="A17" s="656" t="s">
        <v>677</v>
      </c>
      <c r="B17" s="594" t="s">
        <v>0</v>
      </c>
      <c r="C17" s="10">
        <f>SUM(C6:C15)</f>
        <v>3135000</v>
      </c>
      <c r="D17" s="10">
        <f>SUM(D6:D14)</f>
        <v>10000</v>
      </c>
      <c r="E17" s="10">
        <f>SUM(E6:E14)</f>
        <v>200000</v>
      </c>
      <c r="F17" s="10">
        <f>SUM(F6:F14)</f>
        <v>0</v>
      </c>
      <c r="G17" s="10">
        <f>SUM(G6:G16)</f>
        <v>0</v>
      </c>
      <c r="H17" s="10">
        <f>SUM(H6:H16)</f>
        <v>0</v>
      </c>
      <c r="I17" s="10">
        <f>SUM(C17:H17)</f>
        <v>3345000</v>
      </c>
      <c r="J17" s="10">
        <f>SUM(J6:J16)</f>
        <v>47000</v>
      </c>
    </row>
    <row r="18" spans="1:15" ht="14.4" thickTop="1" x14ac:dyDescent="0.3">
      <c r="A18" s="657"/>
      <c r="C18" s="332"/>
      <c r="D18" s="332"/>
      <c r="E18" s="332"/>
      <c r="F18" s="332"/>
      <c r="G18" s="332"/>
      <c r="H18" s="332"/>
      <c r="I18" s="332"/>
      <c r="J18" s="332"/>
    </row>
    <row r="19" spans="1:15" x14ac:dyDescent="0.3">
      <c r="A19" s="222"/>
      <c r="B19" s="103" t="s">
        <v>411</v>
      </c>
      <c r="C19" s="323">
        <v>0</v>
      </c>
      <c r="M19" s="4"/>
      <c r="N19" s="4"/>
      <c r="O19" s="4"/>
    </row>
    <row r="20" spans="1:15" x14ac:dyDescent="0.3">
      <c r="A20" s="222"/>
      <c r="M20" s="4"/>
      <c r="N20" s="4"/>
      <c r="O20" s="4"/>
    </row>
    <row r="21" spans="1:15" x14ac:dyDescent="0.3">
      <c r="A21" s="222"/>
      <c r="B21" s="366" t="s">
        <v>644</v>
      </c>
      <c r="C21" s="137">
        <v>173000</v>
      </c>
      <c r="D21" s="4">
        <f>C28</f>
        <v>59500</v>
      </c>
      <c r="E21" s="4">
        <f t="shared" ref="E21:H21" si="0">D28</f>
        <v>59500</v>
      </c>
      <c r="F21" s="4">
        <f t="shared" si="0"/>
        <v>-30500</v>
      </c>
      <c r="G21" s="4">
        <f t="shared" si="0"/>
        <v>-20500</v>
      </c>
      <c r="H21" s="4">
        <f t="shared" si="0"/>
        <v>-10500</v>
      </c>
      <c r="M21" s="4"/>
      <c r="N21" s="4"/>
      <c r="O21" s="4"/>
    </row>
    <row r="22" spans="1:15" s="319" customFormat="1" x14ac:dyDescent="0.3">
      <c r="A22" s="222"/>
      <c r="B22" s="82" t="s">
        <v>743</v>
      </c>
      <c r="C22" s="137">
        <v>-4500</v>
      </c>
      <c r="D22" s="324">
        <v>0</v>
      </c>
      <c r="E22" s="324">
        <v>0</v>
      </c>
      <c r="F22" s="324">
        <v>0</v>
      </c>
      <c r="G22" s="324">
        <v>0</v>
      </c>
      <c r="H22" s="324">
        <v>0</v>
      </c>
      <c r="L22" s="324"/>
      <c r="M22" s="324"/>
      <c r="N22" s="324"/>
      <c r="O22" s="324"/>
    </row>
    <row r="23" spans="1:15" x14ac:dyDescent="0.3">
      <c r="B23" s="82" t="s">
        <v>281</v>
      </c>
      <c r="C23" s="324">
        <v>10000</v>
      </c>
      <c r="D23" s="324">
        <v>10000</v>
      </c>
      <c r="E23" s="324">
        <v>10000</v>
      </c>
      <c r="F23" s="324">
        <v>10000</v>
      </c>
      <c r="G23" s="324">
        <v>10000</v>
      </c>
      <c r="H23" s="324">
        <f t="shared" ref="H23" si="1">G23</f>
        <v>10000</v>
      </c>
      <c r="M23" s="4"/>
      <c r="N23" s="4"/>
      <c r="O23" s="4"/>
    </row>
    <row r="24" spans="1:15" s="319" customFormat="1" x14ac:dyDescent="0.3">
      <c r="B24" s="82" t="s">
        <v>321</v>
      </c>
      <c r="C24" s="324">
        <f>-' Fire Sta. Maint ET'!C23</f>
        <v>16000</v>
      </c>
      <c r="D24" s="324">
        <v>0</v>
      </c>
      <c r="E24" s="324">
        <v>0</v>
      </c>
      <c r="F24" s="324">
        <v>0</v>
      </c>
      <c r="G24" s="324">
        <v>0</v>
      </c>
      <c r="H24" s="324">
        <v>0</v>
      </c>
      <c r="L24" s="324"/>
      <c r="M24" s="324"/>
      <c r="N24" s="324"/>
      <c r="O24" s="324"/>
    </row>
    <row r="25" spans="1:15" s="176" customFormat="1" ht="15.6" x14ac:dyDescent="0.45">
      <c r="B25" s="82" t="s">
        <v>194</v>
      </c>
      <c r="C25" s="180">
        <f>C14</f>
        <v>3000000</v>
      </c>
      <c r="D25" s="324">
        <v>0</v>
      </c>
      <c r="E25" s="180">
        <v>0</v>
      </c>
      <c r="F25" s="324">
        <v>0</v>
      </c>
      <c r="G25" s="180">
        <v>0</v>
      </c>
      <c r="H25" s="180">
        <v>0</v>
      </c>
      <c r="I25" s="92"/>
      <c r="J25" s="93"/>
      <c r="L25" s="324"/>
      <c r="M25" s="180"/>
      <c r="N25" s="180"/>
      <c r="O25" s="180"/>
    </row>
    <row r="26" spans="1:15" x14ac:dyDescent="0.3">
      <c r="B26" s="82" t="s">
        <v>84</v>
      </c>
      <c r="C26" s="4">
        <v>0</v>
      </c>
      <c r="D26" s="4">
        <v>0</v>
      </c>
      <c r="E26" s="324">
        <v>100000</v>
      </c>
      <c r="F26" s="4">
        <v>0</v>
      </c>
      <c r="G26" s="4">
        <v>0</v>
      </c>
      <c r="H26" s="4">
        <v>0</v>
      </c>
      <c r="I26" s="198" t="s">
        <v>675</v>
      </c>
      <c r="J26" s="176"/>
      <c r="M26" s="4"/>
      <c r="N26" s="4"/>
      <c r="O26" s="4"/>
    </row>
    <row r="27" spans="1:15" ht="15.6" x14ac:dyDescent="0.45">
      <c r="B27" s="82" t="s">
        <v>36</v>
      </c>
      <c r="C27" s="56">
        <f t="shared" ref="C27:H27" si="2">-C17</f>
        <v>-3135000</v>
      </c>
      <c r="D27" s="56">
        <f t="shared" si="2"/>
        <v>-10000</v>
      </c>
      <c r="E27" s="56">
        <f t="shared" si="2"/>
        <v>-200000</v>
      </c>
      <c r="F27" s="56">
        <f t="shared" si="2"/>
        <v>0</v>
      </c>
      <c r="G27" s="56">
        <f t="shared" si="2"/>
        <v>0</v>
      </c>
      <c r="H27" s="56">
        <f t="shared" si="2"/>
        <v>0</v>
      </c>
      <c r="I27" s="92"/>
      <c r="J27" s="91"/>
      <c r="N27" s="4"/>
      <c r="O27" s="4"/>
    </row>
    <row r="28" spans="1:15" ht="15.6" x14ac:dyDescent="0.45">
      <c r="B28" s="83" t="s">
        <v>37</v>
      </c>
      <c r="C28" s="63">
        <f>SUM(C21:C27)</f>
        <v>59500</v>
      </c>
      <c r="D28" s="289">
        <f t="shared" ref="D28:H28" si="3">SUM(D21:D27)</f>
        <v>59500</v>
      </c>
      <c r="E28" s="289">
        <f t="shared" si="3"/>
        <v>-30500</v>
      </c>
      <c r="F28" s="289">
        <f t="shared" si="3"/>
        <v>-20500</v>
      </c>
      <c r="G28" s="289">
        <f t="shared" si="3"/>
        <v>-10500</v>
      </c>
      <c r="H28" s="289">
        <f t="shared" si="3"/>
        <v>-500</v>
      </c>
      <c r="I28" s="92"/>
      <c r="J28" s="176"/>
      <c r="K28" s="176"/>
      <c r="N28" s="4"/>
      <c r="O28" s="4"/>
    </row>
    <row r="29" spans="1:15" ht="15.6" x14ac:dyDescent="0.45">
      <c r="D29" s="289"/>
      <c r="E29" s="289"/>
      <c r="F29" s="289"/>
      <c r="G29" s="289"/>
      <c r="H29" s="289"/>
    </row>
    <row r="30" spans="1:15" ht="15.6" x14ac:dyDescent="0.45">
      <c r="C30" s="324"/>
      <c r="D30" s="289"/>
      <c r="E30" s="289"/>
      <c r="F30" s="289"/>
      <c r="G30" s="289"/>
      <c r="H30" s="289"/>
    </row>
    <row r="31" spans="1:15" x14ac:dyDescent="0.3">
      <c r="B31" s="103" t="s">
        <v>746</v>
      </c>
      <c r="C31" s="324"/>
      <c r="D31" s="102" t="s">
        <v>757</v>
      </c>
      <c r="F31" s="598">
        <v>3575000</v>
      </c>
      <c r="H31" s="319" t="s">
        <v>756</v>
      </c>
      <c r="J31" s="598">
        <v>3950000</v>
      </c>
      <c r="K31" s="46">
        <f>F31-D36</f>
        <v>-377563</v>
      </c>
      <c r="L31" s="102"/>
    </row>
    <row r="32" spans="1:15" x14ac:dyDescent="0.3">
      <c r="B32" s="103" t="s">
        <v>755</v>
      </c>
      <c r="C32" s="324">
        <v>3500000</v>
      </c>
      <c r="D32" s="102" t="s">
        <v>750</v>
      </c>
      <c r="F32" s="324">
        <v>-200000</v>
      </c>
      <c r="H32" s="102" t="s">
        <v>750</v>
      </c>
      <c r="J32" s="324">
        <v>-200000</v>
      </c>
      <c r="K32" s="46">
        <f>J32-F32</f>
        <v>0</v>
      </c>
      <c r="L32" s="102"/>
    </row>
    <row r="33" spans="2:12" x14ac:dyDescent="0.3">
      <c r="B33" s="103" t="s">
        <v>754</v>
      </c>
      <c r="C33" s="36">
        <v>-750000</v>
      </c>
      <c r="D33" s="308" t="s">
        <v>751</v>
      </c>
      <c r="E33" s="308"/>
      <c r="F33" s="36">
        <v>-375000</v>
      </c>
      <c r="H33" s="102" t="str">
        <f>D33</f>
        <v>Undesignated Funds</v>
      </c>
      <c r="J33" s="324">
        <v>-250000</v>
      </c>
      <c r="K33" s="46">
        <v>-125000</v>
      </c>
      <c r="L33" s="102"/>
    </row>
    <row r="34" spans="2:12" x14ac:dyDescent="0.3">
      <c r="B34" s="83" t="s">
        <v>121</v>
      </c>
      <c r="C34" s="323">
        <f>SUM(C32:C33)</f>
        <v>2750000</v>
      </c>
      <c r="D34" s="83" t="s">
        <v>121</v>
      </c>
      <c r="E34" s="324"/>
      <c r="F34" s="113">
        <f>SUM(F31:F33)</f>
        <v>3000000</v>
      </c>
      <c r="H34" s="83" t="s">
        <v>121</v>
      </c>
      <c r="J34" s="323">
        <f>SUM(J31:J33)</f>
        <v>3500000</v>
      </c>
      <c r="K34" s="113">
        <f>SUM(K31:K33)</f>
        <v>-502563</v>
      </c>
      <c r="L34" s="102"/>
    </row>
    <row r="35" spans="2:12" x14ac:dyDescent="0.3">
      <c r="C35" s="324"/>
      <c r="J35" s="324"/>
      <c r="K35" s="46"/>
      <c r="L35" s="102"/>
    </row>
    <row r="36" spans="2:12" x14ac:dyDescent="0.3">
      <c r="B36" s="102" t="s">
        <v>752</v>
      </c>
      <c r="D36" s="46">
        <v>3952563</v>
      </c>
      <c r="K36" s="46"/>
    </row>
    <row r="37" spans="2:12" x14ac:dyDescent="0.3">
      <c r="B37" s="102" t="s">
        <v>758</v>
      </c>
      <c r="D37" s="596">
        <f>F31</f>
        <v>3575000</v>
      </c>
    </row>
    <row r="38" spans="2:12" x14ac:dyDescent="0.3">
      <c r="B38" s="79" t="s">
        <v>753</v>
      </c>
      <c r="D38" s="113">
        <f>D36-D37</f>
        <v>377563</v>
      </c>
    </row>
    <row r="41" spans="2:12" x14ac:dyDescent="0.3">
      <c r="B41" s="102"/>
    </row>
    <row r="42" spans="2:12" x14ac:dyDescent="0.3">
      <c r="B42" s="102"/>
    </row>
  </sheetData>
  <mergeCells count="3">
    <mergeCell ref="I4:J4"/>
    <mergeCell ref="A17:A18"/>
    <mergeCell ref="I8:I9"/>
  </mergeCells>
  <pageMargins left="0.7" right="0.7" top="0.75" bottom="0.75" header="0.3" footer="0.3"/>
  <pageSetup scale="83" orientation="landscape" r:id="rId1"/>
  <headerFooter>
    <oddHeader>&amp;C&amp;"-,Bold"&amp;12CIP DEPARTMENT INFORMATION REQUEST FORM
DEPARTMENT: FIRE STATIONS CAPITAL RESERVE (New 2019)</oddHeader>
    <oddFooter xml:space="preserve">&amp;L&amp;A&amp;RPage &amp;P of &amp;N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view="pageBreakPreview" zoomScaleNormal="100" zoomScaleSheetLayoutView="100" workbookViewId="0">
      <selection activeCell="I34" sqref="I34"/>
    </sheetView>
  </sheetViews>
  <sheetFormatPr defaultRowHeight="13.8" x14ac:dyDescent="0.3"/>
  <cols>
    <col min="1" max="1" width="19.6640625" customWidth="1"/>
    <col min="2" max="2" width="27.109375" customWidth="1"/>
    <col min="3" max="3" width="10.5546875" customWidth="1"/>
    <col min="4" max="4" width="10.88671875" bestFit="1" customWidth="1"/>
    <col min="5" max="5" width="10.33203125" customWidth="1"/>
    <col min="6" max="6" width="9.88671875" customWidth="1"/>
    <col min="7" max="7" width="10" bestFit="1" customWidth="1"/>
    <col min="8" max="8" width="10.109375" customWidth="1"/>
    <col min="9" max="9" width="14.88671875" customWidth="1"/>
    <col min="10" max="10" width="12.44140625" customWidth="1"/>
  </cols>
  <sheetData>
    <row r="1" spans="1:10" ht="20.25" customHeight="1" x14ac:dyDescent="0.3">
      <c r="A1" s="320" t="s">
        <v>716</v>
      </c>
      <c r="I1" s="247"/>
      <c r="J1" s="248"/>
    </row>
    <row r="2" spans="1:10" x14ac:dyDescent="0.3">
      <c r="A2" s="320" t="s">
        <v>267</v>
      </c>
    </row>
    <row r="3" spans="1:10" x14ac:dyDescent="0.3">
      <c r="A3" s="320" t="s">
        <v>268</v>
      </c>
    </row>
    <row r="4" spans="1:10" s="24" customFormat="1" x14ac:dyDescent="0.3">
      <c r="A4" s="327" t="s">
        <v>269</v>
      </c>
      <c r="I4" s="623" t="s">
        <v>412</v>
      </c>
      <c r="J4" s="624"/>
    </row>
    <row r="5" spans="1:10" s="24" customFormat="1" x14ac:dyDescent="0.3">
      <c r="A5" s="21" t="s">
        <v>3</v>
      </c>
      <c r="B5" s="21" t="s">
        <v>4</v>
      </c>
      <c r="C5" s="22">
        <v>2021</v>
      </c>
      <c r="D5" s="22">
        <f>C5+1</f>
        <v>2022</v>
      </c>
      <c r="E5" s="22">
        <f>D5+1</f>
        <v>2023</v>
      </c>
      <c r="F5" s="22">
        <f>E5+1</f>
        <v>2024</v>
      </c>
      <c r="G5" s="22">
        <f>F5+1</f>
        <v>2025</v>
      </c>
      <c r="H5" s="22">
        <f>G5+1</f>
        <v>2026</v>
      </c>
      <c r="I5" s="21" t="s">
        <v>3</v>
      </c>
      <c r="J5" s="21" t="s">
        <v>2</v>
      </c>
    </row>
    <row r="6" spans="1:10" x14ac:dyDescent="0.3">
      <c r="A6" s="100"/>
      <c r="B6" s="100"/>
      <c r="C6" s="100"/>
      <c r="D6" s="100"/>
      <c r="E6" s="100"/>
      <c r="F6" s="166"/>
      <c r="G6" s="17"/>
      <c r="H6" s="17"/>
      <c r="I6" s="28"/>
      <c r="J6" s="17"/>
    </row>
    <row r="7" spans="1:10" s="13" customFormat="1" ht="28.2" x14ac:dyDescent="0.35">
      <c r="A7" s="181" t="s">
        <v>200</v>
      </c>
      <c r="B7" s="163"/>
      <c r="C7" s="180">
        <v>16000</v>
      </c>
      <c r="D7" s="163"/>
      <c r="E7" s="163"/>
      <c r="F7" s="166"/>
      <c r="G7" s="17"/>
      <c r="H7" s="17"/>
      <c r="I7" s="28"/>
      <c r="J7" s="17"/>
    </row>
    <row r="8" spans="1:10" s="13" customFormat="1" ht="18" x14ac:dyDescent="0.35">
      <c r="A8" s="163"/>
      <c r="B8" s="163"/>
      <c r="C8" s="163"/>
      <c r="D8" s="163"/>
      <c r="E8" s="163"/>
      <c r="F8" s="166"/>
      <c r="G8" s="17"/>
      <c r="H8" s="17"/>
      <c r="I8" s="110"/>
      <c r="J8" s="17"/>
    </row>
    <row r="9" spans="1:10" s="13" customFormat="1" ht="18" x14ac:dyDescent="0.35">
      <c r="A9" s="163"/>
      <c r="B9" s="163"/>
      <c r="C9" s="163"/>
      <c r="D9" s="163"/>
      <c r="E9" s="163"/>
      <c r="F9" s="166"/>
      <c r="G9" s="17"/>
      <c r="H9" s="17"/>
      <c r="I9" s="28"/>
      <c r="J9" s="17"/>
    </row>
    <row r="10" spans="1:10" s="13" customFormat="1" ht="18" x14ac:dyDescent="0.35">
      <c r="A10" s="163"/>
      <c r="B10" s="163"/>
      <c r="C10" s="163"/>
      <c r="D10" s="163"/>
      <c r="E10" s="163"/>
      <c r="F10" s="166"/>
      <c r="G10" s="17"/>
      <c r="H10" s="17"/>
      <c r="I10" s="28"/>
      <c r="J10" s="17"/>
    </row>
    <row r="11" spans="1:10" s="13" customFormat="1" ht="18" x14ac:dyDescent="0.35">
      <c r="A11" s="163"/>
      <c r="B11" s="163"/>
      <c r="C11" s="163"/>
      <c r="D11" s="163"/>
      <c r="E11" s="163"/>
      <c r="F11" s="166"/>
      <c r="G11" s="17"/>
      <c r="H11" s="17"/>
      <c r="I11" s="28"/>
      <c r="J11" s="17"/>
    </row>
    <row r="12" spans="1:10" s="106" customFormat="1" ht="18" x14ac:dyDescent="0.35">
      <c r="A12" s="163"/>
      <c r="B12" s="163"/>
      <c r="C12" s="163"/>
      <c r="D12" s="163"/>
      <c r="E12" s="163"/>
      <c r="F12" s="166"/>
      <c r="G12" s="17"/>
      <c r="H12" s="17"/>
      <c r="I12" s="110"/>
      <c r="J12" s="17"/>
    </row>
    <row r="13" spans="1:10" s="106" customFormat="1" ht="18" x14ac:dyDescent="0.35">
      <c r="A13" s="163"/>
      <c r="B13" s="163"/>
      <c r="C13" s="163"/>
      <c r="D13" s="163"/>
      <c r="E13" s="163"/>
      <c r="F13" s="166"/>
      <c r="G13" s="17"/>
      <c r="H13" s="17"/>
      <c r="I13" s="28"/>
      <c r="J13" s="17"/>
    </row>
    <row r="14" spans="1:10" s="106" customFormat="1" ht="18" x14ac:dyDescent="0.35">
      <c r="A14" s="163"/>
      <c r="B14" s="163"/>
      <c r="C14" s="163"/>
      <c r="D14" s="163"/>
      <c r="E14" s="163"/>
      <c r="F14" s="163"/>
      <c r="G14" s="17"/>
      <c r="H14" s="17"/>
      <c r="I14" s="28"/>
      <c r="J14" s="17"/>
    </row>
    <row r="15" spans="1:10" s="13" customFormat="1" ht="18" x14ac:dyDescent="0.35">
      <c r="A15" s="29"/>
      <c r="B15" s="20"/>
      <c r="C15" s="18"/>
      <c r="D15" s="19"/>
      <c r="E15" s="18"/>
      <c r="F15" s="165"/>
      <c r="G15" s="17"/>
      <c r="H15" s="17"/>
      <c r="I15" s="62" t="s">
        <v>9</v>
      </c>
      <c r="J15" s="17"/>
    </row>
    <row r="16" spans="1:10" ht="21.75" customHeight="1" thickBot="1" x14ac:dyDescent="0.35">
      <c r="A16" s="107"/>
      <c r="B16" s="108" t="s">
        <v>0</v>
      </c>
      <c r="C16" s="10">
        <f>SUM(C7:C15)</f>
        <v>16000</v>
      </c>
      <c r="D16" s="10">
        <f>SUM(D15:D15)</f>
        <v>0</v>
      </c>
      <c r="E16" s="10">
        <f>SUM(E15:E15)</f>
        <v>0</v>
      </c>
      <c r="F16" s="10">
        <f>SUM(F6:F15)</f>
        <v>0</v>
      </c>
      <c r="G16" s="10">
        <f>SUM(G6:G15)</f>
        <v>0</v>
      </c>
      <c r="H16" s="10">
        <f>SUM(H6:H15)</f>
        <v>0</v>
      </c>
      <c r="I16" s="10">
        <f>SUM(C16:H16)</f>
        <v>16000</v>
      </c>
      <c r="J16" s="10">
        <f>SUM(J6:J15)</f>
        <v>0</v>
      </c>
    </row>
    <row r="17" spans="1:15" ht="14.4" thickTop="1" x14ac:dyDescent="0.3">
      <c r="A17" s="102"/>
      <c r="B17" s="102"/>
      <c r="C17" s="102"/>
      <c r="D17" s="102"/>
      <c r="E17" s="102"/>
      <c r="F17" s="102"/>
      <c r="I17" s="102"/>
      <c r="J17" s="102"/>
    </row>
    <row r="18" spans="1:15" x14ac:dyDescent="0.3">
      <c r="B18" t="s">
        <v>218</v>
      </c>
      <c r="C18" s="17">
        <v>0</v>
      </c>
      <c r="I18" s="113"/>
      <c r="L18" s="4"/>
      <c r="M18" s="4"/>
      <c r="N18" s="4"/>
      <c r="O18" s="4"/>
    </row>
    <row r="19" spans="1:15" x14ac:dyDescent="0.3">
      <c r="J19" s="102"/>
      <c r="L19" s="4"/>
      <c r="M19" s="4"/>
      <c r="N19" s="4"/>
      <c r="O19" s="4"/>
    </row>
    <row r="20" spans="1:15" x14ac:dyDescent="0.3">
      <c r="B20" s="109" t="s">
        <v>644</v>
      </c>
      <c r="C20" s="4">
        <v>16000</v>
      </c>
      <c r="D20" s="4">
        <f>C24</f>
        <v>0</v>
      </c>
      <c r="E20" s="4">
        <f t="shared" ref="E20:H20" si="0">D24</f>
        <v>0</v>
      </c>
      <c r="F20" s="4">
        <f t="shared" si="0"/>
        <v>0</v>
      </c>
      <c r="G20" s="4">
        <f t="shared" si="0"/>
        <v>0</v>
      </c>
      <c r="H20" s="4">
        <f t="shared" si="0"/>
        <v>0</v>
      </c>
      <c r="L20" s="4"/>
      <c r="M20" s="4"/>
      <c r="N20" s="4"/>
      <c r="O20" s="4"/>
    </row>
    <row r="21" spans="1:15" x14ac:dyDescent="0.3">
      <c r="B21" s="65" t="s">
        <v>281</v>
      </c>
      <c r="C21" s="4">
        <v>0</v>
      </c>
      <c r="D21" s="4">
        <f>C21</f>
        <v>0</v>
      </c>
      <c r="E21" s="4">
        <f t="shared" ref="E21" si="1">D21</f>
        <v>0</v>
      </c>
      <c r="F21" s="4">
        <f t="shared" ref="F21" si="2">E21</f>
        <v>0</v>
      </c>
      <c r="G21" s="4">
        <f t="shared" ref="G21" si="3">F21</f>
        <v>0</v>
      </c>
      <c r="H21" s="4">
        <f t="shared" ref="H21" si="4">G21</f>
        <v>0</v>
      </c>
      <c r="L21" s="4"/>
      <c r="M21" s="4"/>
      <c r="N21" s="4"/>
      <c r="O21" s="4"/>
    </row>
    <row r="22" spans="1:15" s="102" customFormat="1" x14ac:dyDescent="0.3">
      <c r="B22" s="65" t="s">
        <v>84</v>
      </c>
      <c r="C22" s="4">
        <v>0</v>
      </c>
      <c r="D22" s="4">
        <v>0</v>
      </c>
      <c r="E22" s="4">
        <v>0</v>
      </c>
      <c r="F22" s="4">
        <v>0</v>
      </c>
      <c r="G22" s="4">
        <v>0</v>
      </c>
      <c r="H22" s="4">
        <v>0</v>
      </c>
      <c r="L22" s="4"/>
      <c r="M22" s="4"/>
      <c r="N22" s="4"/>
      <c r="O22" s="4"/>
    </row>
    <row r="23" spans="1:15" ht="15.6" x14ac:dyDescent="0.45">
      <c r="B23" s="65" t="s">
        <v>320</v>
      </c>
      <c r="C23" s="325">
        <f t="shared" ref="C23:H23" si="5">-C16</f>
        <v>-16000</v>
      </c>
      <c r="D23" s="56">
        <f t="shared" si="5"/>
        <v>0</v>
      </c>
      <c r="E23" s="56">
        <f t="shared" si="5"/>
        <v>0</v>
      </c>
      <c r="F23" s="56">
        <f t="shared" si="5"/>
        <v>0</v>
      </c>
      <c r="G23" s="56">
        <f t="shared" si="5"/>
        <v>0</v>
      </c>
      <c r="H23" s="56">
        <f t="shared" si="5"/>
        <v>0</v>
      </c>
      <c r="N23" s="4"/>
      <c r="O23" s="4"/>
    </row>
    <row r="24" spans="1:15" ht="15.6" x14ac:dyDescent="0.45">
      <c r="B24" s="79" t="s">
        <v>37</v>
      </c>
      <c r="C24" s="63">
        <f>SUM(C20:C23)</f>
        <v>0</v>
      </c>
      <c r="D24" s="63">
        <f t="shared" ref="D24:H24" si="6">SUM(D20:D23)</f>
        <v>0</v>
      </c>
      <c r="E24" s="63">
        <f t="shared" si="6"/>
        <v>0</v>
      </c>
      <c r="F24" s="63">
        <f t="shared" si="6"/>
        <v>0</v>
      </c>
      <c r="G24" s="63">
        <f t="shared" si="6"/>
        <v>0</v>
      </c>
      <c r="H24" s="63">
        <f t="shared" si="6"/>
        <v>0</v>
      </c>
      <c r="N24" s="4"/>
      <c r="O24" s="4"/>
    </row>
    <row r="26" spans="1:15" x14ac:dyDescent="0.3">
      <c r="I26" s="4"/>
    </row>
    <row r="27" spans="1:15" x14ac:dyDescent="0.3">
      <c r="C27" s="4"/>
      <c r="D27" s="4"/>
      <c r="E27" s="4"/>
      <c r="F27" s="4"/>
      <c r="G27" s="4"/>
      <c r="H27" s="4"/>
      <c r="I27" s="4"/>
    </row>
  </sheetData>
  <mergeCells count="1">
    <mergeCell ref="I4:J4"/>
  </mergeCells>
  <pageMargins left="0.7" right="0.7" top="0.75" bottom="0.75" header="0.3" footer="0.3"/>
  <pageSetup scale="94" orientation="landscape" r:id="rId1"/>
  <headerFooter>
    <oddHeader>&amp;C&amp;"-,Bold"&amp;12CIP DEPARTMENT INFORMATION REQUEST FORM
DEPARTMENT:  FIRE and RELATED FACILITIES</oddHeader>
    <oddFooter xml:space="preserve">&amp;L&amp;A&amp;RPage &amp;P of &amp;N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view="pageBreakPreview" zoomScaleNormal="100" zoomScaleSheetLayoutView="100" workbookViewId="0">
      <selection activeCell="A19" sqref="A19"/>
    </sheetView>
  </sheetViews>
  <sheetFormatPr defaultRowHeight="13.8" x14ac:dyDescent="0.3"/>
  <cols>
    <col min="1" max="1" width="25" customWidth="1"/>
    <col min="2" max="2" width="27" customWidth="1"/>
    <col min="3" max="3" width="10" bestFit="1" customWidth="1"/>
    <col min="6" max="6" width="10" bestFit="1" customWidth="1"/>
    <col min="9" max="9" width="16.33203125" customWidth="1"/>
    <col min="10" max="10" width="12.44140625" customWidth="1"/>
  </cols>
  <sheetData>
    <row r="1" spans="1:11" ht="20.25" customHeight="1" x14ac:dyDescent="0.3">
      <c r="A1" s="320" t="s">
        <v>716</v>
      </c>
      <c r="I1" s="247"/>
      <c r="J1" s="248"/>
    </row>
    <row r="2" spans="1:11" x14ac:dyDescent="0.3">
      <c r="A2" s="320" t="s">
        <v>267</v>
      </c>
    </row>
    <row r="3" spans="1:11" x14ac:dyDescent="0.3">
      <c r="A3" s="320" t="s">
        <v>268</v>
      </c>
    </row>
    <row r="4" spans="1:11" s="24" customFormat="1" x14ac:dyDescent="0.3">
      <c r="A4" s="327" t="s">
        <v>269</v>
      </c>
      <c r="I4" s="623" t="s">
        <v>412</v>
      </c>
      <c r="J4" s="624"/>
    </row>
    <row r="5" spans="1:11" s="24" customFormat="1" x14ac:dyDescent="0.3">
      <c r="A5" s="21" t="s">
        <v>3</v>
      </c>
      <c r="B5" s="21" t="s">
        <v>4</v>
      </c>
      <c r="C5" s="22">
        <v>2021</v>
      </c>
      <c r="D5" s="22">
        <f>C5+1</f>
        <v>2022</v>
      </c>
      <c r="E5" s="22">
        <f>D5+1</f>
        <v>2023</v>
      </c>
      <c r="F5" s="22">
        <f>E5+1</f>
        <v>2024</v>
      </c>
      <c r="G5" s="22">
        <f>F5+1</f>
        <v>2025</v>
      </c>
      <c r="H5" s="22">
        <f>G5+1</f>
        <v>2026</v>
      </c>
      <c r="I5" s="21" t="s">
        <v>3</v>
      </c>
      <c r="J5" s="21" t="s">
        <v>2</v>
      </c>
    </row>
    <row r="6" spans="1:11" ht="19.5" customHeight="1" x14ac:dyDescent="0.3">
      <c r="A6" s="72" t="s">
        <v>19</v>
      </c>
      <c r="B6" s="42"/>
      <c r="C6" s="17">
        <v>35000</v>
      </c>
      <c r="D6" s="166">
        <f>C6</f>
        <v>35000</v>
      </c>
      <c r="E6" s="323">
        <f t="shared" ref="E6:H6" si="0">D6</f>
        <v>35000</v>
      </c>
      <c r="F6" s="323">
        <f t="shared" si="0"/>
        <v>35000</v>
      </c>
      <c r="G6" s="323">
        <f t="shared" si="0"/>
        <v>35000</v>
      </c>
      <c r="H6" s="323">
        <f t="shared" si="0"/>
        <v>35000</v>
      </c>
      <c r="I6" s="42"/>
      <c r="J6" s="17"/>
    </row>
    <row r="7" spans="1:11" s="162" customFormat="1" ht="19.5" customHeight="1" x14ac:dyDescent="0.3">
      <c r="A7" s="72" t="s">
        <v>175</v>
      </c>
      <c r="B7" s="42"/>
      <c r="C7" s="323">
        <v>35000</v>
      </c>
      <c r="D7" s="323">
        <f>C7</f>
        <v>35000</v>
      </c>
      <c r="E7" s="166"/>
      <c r="F7" s="166"/>
      <c r="G7" s="166"/>
      <c r="H7" s="166">
        <v>35000</v>
      </c>
      <c r="I7" s="100"/>
      <c r="J7" s="166"/>
    </row>
    <row r="8" spans="1:11" x14ac:dyDescent="0.3">
      <c r="A8" s="146"/>
      <c r="B8" s="161"/>
      <c r="C8" s="302"/>
      <c r="E8" s="166"/>
      <c r="F8" s="166"/>
      <c r="G8" s="166"/>
      <c r="H8" s="166"/>
      <c r="I8" s="17"/>
      <c r="J8" s="17"/>
    </row>
    <row r="9" spans="1:11" s="13" customFormat="1" ht="18" x14ac:dyDescent="0.35">
      <c r="A9" s="659" t="s">
        <v>469</v>
      </c>
      <c r="B9" s="2"/>
      <c r="C9" s="167"/>
      <c r="D9" s="166"/>
      <c r="E9" s="166"/>
      <c r="F9" s="166"/>
      <c r="G9" s="166"/>
      <c r="H9" s="166"/>
      <c r="I9" s="17"/>
      <c r="J9" s="17"/>
    </row>
    <row r="10" spans="1:11" s="13" customFormat="1" ht="18" x14ac:dyDescent="0.35">
      <c r="A10" s="659"/>
      <c r="B10" s="2"/>
      <c r="C10" s="166"/>
      <c r="D10" s="166"/>
      <c r="E10" s="166"/>
      <c r="F10" s="166"/>
      <c r="G10" s="166"/>
      <c r="H10" s="166"/>
      <c r="I10" s="17"/>
      <c r="J10" s="17"/>
    </row>
    <row r="11" spans="1:11" s="13" customFormat="1" ht="18" x14ac:dyDescent="0.35">
      <c r="A11" s="659"/>
      <c r="B11" s="2"/>
      <c r="C11" s="166"/>
      <c r="D11" s="166"/>
      <c r="E11" s="166"/>
      <c r="F11" s="166"/>
      <c r="G11" s="166"/>
      <c r="H11" s="166"/>
      <c r="I11" s="17"/>
      <c r="J11" s="17"/>
    </row>
    <row r="12" spans="1:11" s="13" customFormat="1" ht="18" x14ac:dyDescent="0.35">
      <c r="A12" s="659"/>
      <c r="B12" s="2"/>
      <c r="C12" s="166"/>
      <c r="D12" s="166"/>
      <c r="E12" s="166"/>
      <c r="F12" s="166"/>
      <c r="G12" s="166"/>
      <c r="H12" s="166"/>
      <c r="I12" s="17"/>
      <c r="J12" s="17"/>
    </row>
    <row r="13" spans="1:11" s="13" customFormat="1" ht="18" x14ac:dyDescent="0.35">
      <c r="A13" s="659"/>
      <c r="B13" s="2"/>
      <c r="C13" s="166"/>
      <c r="D13" s="166"/>
      <c r="E13" s="166"/>
      <c r="F13" s="166"/>
      <c r="G13" s="166"/>
      <c r="H13" s="166"/>
      <c r="I13" s="17"/>
      <c r="J13" s="17"/>
    </row>
    <row r="14" spans="1:11" s="13" customFormat="1" ht="18" x14ac:dyDescent="0.35">
      <c r="A14" s="659"/>
      <c r="B14" s="2"/>
      <c r="C14" s="166"/>
      <c r="D14" s="166"/>
      <c r="E14" s="166"/>
      <c r="F14" s="166"/>
      <c r="G14" s="166"/>
      <c r="H14" s="166"/>
      <c r="I14" s="17"/>
      <c r="J14" s="17"/>
    </row>
    <row r="15" spans="1:11" s="13" customFormat="1" ht="18" x14ac:dyDescent="0.35">
      <c r="A15" s="660"/>
      <c r="B15" s="2"/>
      <c r="C15" s="17"/>
      <c r="D15" s="19"/>
      <c r="E15" s="17"/>
      <c r="F15" s="17"/>
      <c r="G15" s="17"/>
      <c r="H15" s="17"/>
      <c r="I15" s="41" t="s">
        <v>9</v>
      </c>
      <c r="J15" s="17"/>
    </row>
    <row r="16" spans="1:11" ht="28.5" customHeight="1" thickBot="1" x14ac:dyDescent="0.4">
      <c r="A16" s="73"/>
      <c r="B16" s="11" t="s">
        <v>0</v>
      </c>
      <c r="C16" s="40">
        <f t="shared" ref="C16:H16" si="1">SUM(C6:C15)</f>
        <v>70000</v>
      </c>
      <c r="D16" s="40">
        <f t="shared" si="1"/>
        <v>70000</v>
      </c>
      <c r="E16" s="40">
        <f t="shared" si="1"/>
        <v>35000</v>
      </c>
      <c r="F16" s="40">
        <f t="shared" si="1"/>
        <v>35000</v>
      </c>
      <c r="G16" s="40">
        <f t="shared" si="1"/>
        <v>35000</v>
      </c>
      <c r="H16" s="40">
        <f t="shared" si="1"/>
        <v>70000</v>
      </c>
      <c r="I16" s="40">
        <f>SUM(C16:H16)</f>
        <v>315000</v>
      </c>
      <c r="J16" s="40">
        <f>SUM(J6:J15)</f>
        <v>0</v>
      </c>
      <c r="K16" s="13"/>
    </row>
    <row r="17" spans="1:11" ht="8.25" customHeight="1" thickTop="1" x14ac:dyDescent="0.35">
      <c r="A17" s="45"/>
      <c r="C17" s="4"/>
      <c r="D17" s="4"/>
      <c r="E17" s="4"/>
      <c r="F17" s="4"/>
      <c r="G17" s="4"/>
      <c r="H17" s="4"/>
      <c r="I17" s="102"/>
      <c r="J17" s="4"/>
      <c r="K17" s="13"/>
    </row>
    <row r="18" spans="1:11" x14ac:dyDescent="0.3">
      <c r="A18" s="74" t="s">
        <v>18</v>
      </c>
      <c r="B18" s="8"/>
      <c r="C18" s="8"/>
      <c r="D18" s="7"/>
      <c r="E18" s="4"/>
      <c r="F18" s="4"/>
      <c r="G18" s="4"/>
      <c r="H18" s="4"/>
      <c r="I18" s="102"/>
      <c r="J18" s="4"/>
    </row>
    <row r="19" spans="1:11" x14ac:dyDescent="0.3">
      <c r="A19" s="122" t="s">
        <v>738</v>
      </c>
      <c r="B19" s="123"/>
      <c r="C19" s="123"/>
      <c r="D19" s="343">
        <v>24000</v>
      </c>
      <c r="E19" s="70"/>
      <c r="F19" s="4"/>
      <c r="G19" s="4"/>
      <c r="H19" s="4"/>
      <c r="I19" s="102"/>
      <c r="J19" s="4"/>
    </row>
    <row r="20" spans="1:11" x14ac:dyDescent="0.3">
      <c r="A20" s="124" t="s">
        <v>17</v>
      </c>
      <c r="B20" s="125"/>
      <c r="C20" s="125"/>
      <c r="D20" s="344">
        <v>10000</v>
      </c>
      <c r="E20" s="70"/>
      <c r="I20" s="102"/>
      <c r="J20" s="4"/>
    </row>
    <row r="21" spans="1:11" x14ac:dyDescent="0.3">
      <c r="A21" s="45"/>
      <c r="C21" s="4"/>
      <c r="D21" s="4"/>
      <c r="E21" s="4"/>
      <c r="G21" s="4"/>
      <c r="H21" s="4"/>
      <c r="J21" s="4"/>
    </row>
    <row r="22" spans="1:11" x14ac:dyDescent="0.3">
      <c r="A22" s="45"/>
      <c r="B22" s="324" t="s">
        <v>411</v>
      </c>
      <c r="C22" s="17">
        <v>40000</v>
      </c>
      <c r="D22" s="4"/>
      <c r="E22" s="4"/>
      <c r="F22" s="48"/>
      <c r="G22" s="4"/>
      <c r="H22" s="4"/>
      <c r="I22" s="4"/>
      <c r="J22" s="4"/>
    </row>
    <row r="23" spans="1:11" x14ac:dyDescent="0.3">
      <c r="A23" s="45"/>
      <c r="I23" s="4"/>
      <c r="J23" s="4"/>
    </row>
    <row r="24" spans="1:11" x14ac:dyDescent="0.3">
      <c r="A24" s="76"/>
      <c r="B24" s="109" t="s">
        <v>644</v>
      </c>
      <c r="C24" s="137">
        <v>64000</v>
      </c>
      <c r="D24" s="4">
        <f>C28</f>
        <v>-6000</v>
      </c>
      <c r="E24" s="4">
        <f>D28</f>
        <v>-36000</v>
      </c>
      <c r="F24" s="4">
        <f>E28</f>
        <v>-31000</v>
      </c>
      <c r="G24" s="4">
        <f>F28</f>
        <v>-26000</v>
      </c>
      <c r="H24" s="4">
        <f>G28</f>
        <v>-21000</v>
      </c>
    </row>
    <row r="25" spans="1:11" s="319" customFormat="1" x14ac:dyDescent="0.3">
      <c r="A25" s="76"/>
      <c r="B25" s="65" t="s">
        <v>742</v>
      </c>
      <c r="C25" s="137">
        <v>-40000</v>
      </c>
      <c r="D25" s="324">
        <v>0</v>
      </c>
      <c r="E25" s="324">
        <v>0</v>
      </c>
      <c r="F25" s="324">
        <v>0</v>
      </c>
      <c r="G25" s="324">
        <v>0</v>
      </c>
      <c r="H25" s="324">
        <v>0</v>
      </c>
    </row>
    <row r="26" spans="1:11" x14ac:dyDescent="0.3">
      <c r="A26" s="45"/>
      <c r="B26" s="65" t="s">
        <v>281</v>
      </c>
      <c r="C26" s="46">
        <v>40000</v>
      </c>
      <c r="D26" s="46">
        <f>C26</f>
        <v>40000</v>
      </c>
      <c r="E26" s="46">
        <f>D26</f>
        <v>40000</v>
      </c>
      <c r="F26" s="46">
        <f>E26</f>
        <v>40000</v>
      </c>
      <c r="G26" s="46">
        <f>F26</f>
        <v>40000</v>
      </c>
      <c r="H26" s="46">
        <f>G26</f>
        <v>40000</v>
      </c>
    </row>
    <row r="27" spans="1:11" ht="15.6" x14ac:dyDescent="0.45">
      <c r="A27" s="45"/>
      <c r="B27" s="65" t="s">
        <v>15</v>
      </c>
      <c r="C27" s="66">
        <f t="shared" ref="C27:H27" si="2">-C16</f>
        <v>-70000</v>
      </c>
      <c r="D27" s="66">
        <f t="shared" si="2"/>
        <v>-70000</v>
      </c>
      <c r="E27" s="66">
        <f t="shared" si="2"/>
        <v>-35000</v>
      </c>
      <c r="F27" s="66">
        <f t="shared" si="2"/>
        <v>-35000</v>
      </c>
      <c r="G27" s="66">
        <f t="shared" si="2"/>
        <v>-35000</v>
      </c>
      <c r="H27" s="66">
        <f t="shared" si="2"/>
        <v>-70000</v>
      </c>
    </row>
    <row r="28" spans="1:11" ht="15.6" x14ac:dyDescent="0.45">
      <c r="A28" s="45"/>
      <c r="B28" s="83" t="s">
        <v>14</v>
      </c>
      <c r="C28" s="67">
        <f t="shared" ref="C28:H28" si="3">SUM(C24:C27)</f>
        <v>-6000</v>
      </c>
      <c r="D28" s="67">
        <f t="shared" si="3"/>
        <v>-36000</v>
      </c>
      <c r="E28" s="67">
        <f t="shared" si="3"/>
        <v>-31000</v>
      </c>
      <c r="F28" s="67">
        <f t="shared" si="3"/>
        <v>-26000</v>
      </c>
      <c r="G28" s="67">
        <f t="shared" si="3"/>
        <v>-21000</v>
      </c>
      <c r="H28" s="67">
        <f t="shared" si="3"/>
        <v>-51000</v>
      </c>
    </row>
    <row r="29" spans="1:11" x14ac:dyDescent="0.3">
      <c r="A29" s="45"/>
      <c r="C29" s="3"/>
      <c r="D29" s="3"/>
      <c r="E29" s="3"/>
      <c r="F29" s="3"/>
      <c r="G29" s="3"/>
      <c r="H29" s="3"/>
    </row>
  </sheetData>
  <mergeCells count="2">
    <mergeCell ref="I4:J4"/>
    <mergeCell ref="A9:A15"/>
  </mergeCells>
  <pageMargins left="0.7" right="0.7" top="0.75" bottom="0.75" header="0.3" footer="0.3"/>
  <pageSetup scale="97" orientation="landscape" r:id="rId1"/>
  <headerFooter>
    <oddHeader>&amp;C&amp;"-,Bold"&amp;12CIP DEPARTMENT INFORMATION REQUEST FORM
DEPARTMENT:   POLICE CRUISERS</oddHeader>
    <oddFooter>&amp;L&amp;A&amp;RPage &amp;P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view="pageLayout" zoomScale="130" zoomScaleNormal="130" zoomScalePageLayoutView="130" workbookViewId="0"/>
  </sheetViews>
  <sheetFormatPr defaultColWidth="8.88671875" defaultRowHeight="14.4" x14ac:dyDescent="0.3"/>
  <cols>
    <col min="1" max="1" width="6.88671875" style="422" bestFit="1" customWidth="1"/>
    <col min="2" max="2" width="24.6640625" style="422" bestFit="1" customWidth="1"/>
    <col min="3" max="3" width="10.109375" style="422" customWidth="1"/>
    <col min="4" max="4" width="4.109375" style="422" bestFit="1" customWidth="1"/>
    <col min="5" max="5" width="10.88671875" style="422" bestFit="1" customWidth="1"/>
    <col min="6" max="6" width="19.88671875" style="422" customWidth="1"/>
    <col min="7" max="7" width="17.44140625" style="422" customWidth="1"/>
    <col min="8" max="8" width="22.33203125" style="422" customWidth="1"/>
    <col min="9" max="16384" width="8.88671875" style="422"/>
  </cols>
  <sheetData>
    <row r="1" spans="1:8" x14ac:dyDescent="0.3">
      <c r="A1" s="422" t="s">
        <v>716</v>
      </c>
    </row>
    <row r="4" spans="1:8" ht="22.5" customHeight="1" x14ac:dyDescent="0.3">
      <c r="A4" s="420" t="s">
        <v>427</v>
      </c>
      <c r="B4" s="420" t="s">
        <v>428</v>
      </c>
      <c r="C4" s="420" t="s">
        <v>429</v>
      </c>
      <c r="D4" s="420" t="s">
        <v>430</v>
      </c>
      <c r="E4" s="420" t="s">
        <v>431</v>
      </c>
      <c r="F4" s="421" t="s">
        <v>432</v>
      </c>
      <c r="G4" s="421" t="s">
        <v>433</v>
      </c>
      <c r="H4" s="421" t="s">
        <v>434</v>
      </c>
    </row>
    <row r="5" spans="1:8" ht="23.25" customHeight="1" x14ac:dyDescent="0.3">
      <c r="A5" s="423">
        <v>2019</v>
      </c>
      <c r="B5" s="424" t="s">
        <v>472</v>
      </c>
      <c r="C5" s="425" t="s">
        <v>473</v>
      </c>
      <c r="D5" s="423">
        <v>1</v>
      </c>
      <c r="E5" s="426">
        <v>18895</v>
      </c>
      <c r="F5" s="427">
        <v>44000</v>
      </c>
      <c r="G5" s="423">
        <v>2025</v>
      </c>
      <c r="H5" s="423"/>
    </row>
    <row r="6" spans="1:8" ht="23.25" customHeight="1" x14ac:dyDescent="0.3">
      <c r="A6" s="428">
        <v>2017</v>
      </c>
      <c r="B6" s="429" t="s">
        <v>472</v>
      </c>
      <c r="C6" s="430" t="s">
        <v>474</v>
      </c>
      <c r="D6" s="428">
        <v>2</v>
      </c>
      <c r="E6" s="431">
        <v>88497</v>
      </c>
      <c r="F6" s="432">
        <v>44000</v>
      </c>
      <c r="G6" s="428">
        <v>2022</v>
      </c>
      <c r="H6" s="428"/>
    </row>
    <row r="7" spans="1:8" ht="23.25" customHeight="1" x14ac:dyDescent="0.3">
      <c r="A7" s="423">
        <v>2017</v>
      </c>
      <c r="B7" s="424" t="s">
        <v>472</v>
      </c>
      <c r="C7" s="425" t="s">
        <v>473</v>
      </c>
      <c r="D7" s="423">
        <v>3</v>
      </c>
      <c r="E7" s="426">
        <v>73120</v>
      </c>
      <c r="F7" s="427">
        <v>44000</v>
      </c>
      <c r="G7" s="423">
        <v>2022</v>
      </c>
      <c r="H7" s="423"/>
    </row>
    <row r="8" spans="1:8" ht="24" customHeight="1" x14ac:dyDescent="0.3">
      <c r="A8" s="428">
        <v>2014</v>
      </c>
      <c r="B8" s="429" t="s">
        <v>472</v>
      </c>
      <c r="C8" s="430" t="s">
        <v>475</v>
      </c>
      <c r="D8" s="428">
        <v>4</v>
      </c>
      <c r="E8" s="431">
        <v>98429</v>
      </c>
      <c r="F8" s="432">
        <v>44000</v>
      </c>
      <c r="G8" s="428">
        <v>2021</v>
      </c>
      <c r="H8" s="428"/>
    </row>
    <row r="9" spans="1:8" ht="22.5" customHeight="1" x14ac:dyDescent="0.3">
      <c r="A9" s="423">
        <v>2013</v>
      </c>
      <c r="B9" s="424" t="s">
        <v>476</v>
      </c>
      <c r="C9" s="425" t="s">
        <v>477</v>
      </c>
      <c r="D9" s="423">
        <v>5</v>
      </c>
      <c r="E9" s="426">
        <v>110798</v>
      </c>
      <c r="F9" s="427">
        <v>10000</v>
      </c>
      <c r="G9" s="423">
        <v>2020</v>
      </c>
      <c r="H9" s="423"/>
    </row>
    <row r="10" spans="1:8" ht="22.5" customHeight="1" x14ac:dyDescent="0.3">
      <c r="A10" s="428">
        <v>2017</v>
      </c>
      <c r="B10" s="429" t="s">
        <v>472</v>
      </c>
      <c r="C10" s="430" t="s">
        <v>473</v>
      </c>
      <c r="D10" s="428">
        <v>6</v>
      </c>
      <c r="E10" s="431">
        <v>56856</v>
      </c>
      <c r="F10" s="432">
        <v>44000</v>
      </c>
      <c r="G10" s="428">
        <v>2023</v>
      </c>
      <c r="H10" s="428"/>
    </row>
    <row r="11" spans="1:8" ht="24" customHeight="1" x14ac:dyDescent="0.3">
      <c r="A11" s="423">
        <v>2019</v>
      </c>
      <c r="B11" s="424" t="s">
        <v>472</v>
      </c>
      <c r="C11" s="425" t="s">
        <v>473</v>
      </c>
      <c r="D11" s="423">
        <v>7</v>
      </c>
      <c r="E11" s="426">
        <v>21249</v>
      </c>
      <c r="F11" s="427">
        <v>44000</v>
      </c>
      <c r="G11" s="423">
        <v>2024</v>
      </c>
      <c r="H11" s="423"/>
    </row>
    <row r="12" spans="1:8" ht="24" customHeight="1" x14ac:dyDescent="0.3">
      <c r="A12" s="428">
        <v>2014</v>
      </c>
      <c r="B12" s="429" t="s">
        <v>472</v>
      </c>
      <c r="C12" s="430" t="s">
        <v>478</v>
      </c>
      <c r="D12" s="428">
        <v>8</v>
      </c>
      <c r="E12" s="431">
        <v>101138</v>
      </c>
      <c r="F12" s="432">
        <v>10000</v>
      </c>
      <c r="G12" s="428">
        <v>2020</v>
      </c>
      <c r="H12" s="428"/>
    </row>
    <row r="13" spans="1:8" ht="24" customHeight="1" x14ac:dyDescent="0.3">
      <c r="A13" s="423" t="s">
        <v>1</v>
      </c>
      <c r="B13" s="424"/>
      <c r="C13" s="425"/>
      <c r="D13" s="423"/>
      <c r="E13" s="424"/>
      <c r="F13" s="427">
        <f>SUM(F5:F12)</f>
        <v>284000</v>
      </c>
      <c r="G13" s="423"/>
      <c r="H13" s="423"/>
    </row>
    <row r="14" spans="1:8" ht="23.25" customHeight="1" x14ac:dyDescent="0.3">
      <c r="A14" s="428"/>
      <c r="B14" s="661" t="s">
        <v>715</v>
      </c>
      <c r="C14" s="662"/>
      <c r="D14" s="662"/>
      <c r="E14" s="662"/>
      <c r="F14" s="662"/>
      <c r="G14" s="662"/>
      <c r="H14" s="663"/>
    </row>
    <row r="15" spans="1:8" ht="23.25" customHeight="1" x14ac:dyDescent="0.3">
      <c r="A15" s="423"/>
      <c r="B15" s="424"/>
      <c r="C15" s="425"/>
      <c r="D15" s="423"/>
      <c r="E15" s="424"/>
      <c r="F15" s="427"/>
      <c r="G15" s="423"/>
      <c r="H15" s="423"/>
    </row>
    <row r="16" spans="1:8" ht="21.75" customHeight="1" x14ac:dyDescent="0.3">
      <c r="A16" s="428"/>
      <c r="B16" s="429"/>
      <c r="C16" s="430"/>
      <c r="D16" s="428"/>
      <c r="E16" s="429"/>
      <c r="F16" s="432"/>
      <c r="G16" s="428"/>
      <c r="H16" s="428"/>
    </row>
    <row r="17" spans="1:8" ht="25.5" customHeight="1" x14ac:dyDescent="0.3">
      <c r="A17" s="423"/>
      <c r="B17" s="423"/>
      <c r="C17" s="433"/>
      <c r="D17" s="434"/>
      <c r="E17" s="423"/>
      <c r="F17" s="435"/>
      <c r="G17" s="436"/>
      <c r="H17" s="437"/>
    </row>
    <row r="18" spans="1:8" ht="22.95" customHeight="1" x14ac:dyDescent="0.3">
      <c r="A18" s="428"/>
      <c r="B18" s="429"/>
      <c r="C18" s="430"/>
      <c r="D18" s="428"/>
      <c r="E18" s="429"/>
      <c r="F18" s="432"/>
      <c r="G18" s="428"/>
      <c r="H18" s="428"/>
    </row>
    <row r="19" spans="1:8" ht="25.2" customHeight="1" x14ac:dyDescent="0.3">
      <c r="A19" s="423"/>
      <c r="B19" s="423"/>
      <c r="C19" s="433"/>
      <c r="D19" s="434"/>
      <c r="E19" s="423"/>
      <c r="F19" s="435"/>
      <c r="G19" s="436"/>
      <c r="H19" s="437"/>
    </row>
    <row r="20" spans="1:8" ht="25.2" customHeight="1" x14ac:dyDescent="0.3">
      <c r="A20" s="428"/>
      <c r="B20" s="429"/>
      <c r="C20" s="430"/>
      <c r="D20" s="428"/>
      <c r="E20" s="429"/>
      <c r="F20" s="432"/>
      <c r="G20" s="428"/>
      <c r="H20" s="428"/>
    </row>
    <row r="21" spans="1:8" ht="25.2" customHeight="1" x14ac:dyDescent="0.3">
      <c r="A21" s="437"/>
      <c r="B21" s="423"/>
      <c r="C21" s="433"/>
      <c r="D21" s="434"/>
      <c r="E21" s="423"/>
      <c r="F21" s="435"/>
      <c r="G21" s="436"/>
      <c r="H21" s="437"/>
    </row>
    <row r="22" spans="1:8" x14ac:dyDescent="0.3">
      <c r="A22" s="438"/>
      <c r="B22" s="439"/>
      <c r="C22" s="439"/>
      <c r="D22" s="439"/>
      <c r="E22" s="439"/>
      <c r="F22" s="439"/>
      <c r="G22" s="439"/>
      <c r="H22" s="439"/>
    </row>
    <row r="23" spans="1:8" x14ac:dyDescent="0.3">
      <c r="A23" s="438"/>
      <c r="B23" s="439"/>
      <c r="C23" s="439"/>
      <c r="D23" s="439"/>
      <c r="E23" s="439"/>
      <c r="F23" s="439"/>
      <c r="G23" s="439"/>
      <c r="H23" s="439"/>
    </row>
    <row r="24" spans="1:8" x14ac:dyDescent="0.3">
      <c r="A24" s="438"/>
      <c r="B24" s="439"/>
      <c r="C24" s="439"/>
      <c r="D24" s="439"/>
      <c r="E24" s="439"/>
      <c r="F24" s="439"/>
      <c r="G24" s="439"/>
      <c r="H24" s="439"/>
    </row>
    <row r="25" spans="1:8" x14ac:dyDescent="0.3">
      <c r="A25" s="438"/>
      <c r="B25" s="439"/>
      <c r="C25" s="439"/>
      <c r="D25" s="439"/>
      <c r="E25" s="439"/>
      <c r="F25" s="439"/>
      <c r="G25" s="439"/>
      <c r="H25" s="439"/>
    </row>
    <row r="26" spans="1:8" x14ac:dyDescent="0.3">
      <c r="A26" s="438"/>
      <c r="B26" s="439"/>
      <c r="C26" s="439"/>
      <c r="D26" s="439"/>
      <c r="E26" s="439"/>
      <c r="F26" s="439"/>
      <c r="G26" s="439"/>
      <c r="H26" s="439"/>
    </row>
    <row r="27" spans="1:8" x14ac:dyDescent="0.3">
      <c r="A27" s="438"/>
      <c r="B27" s="439"/>
      <c r="C27" s="439"/>
      <c r="D27" s="439"/>
      <c r="E27" s="439"/>
      <c r="F27" s="439"/>
      <c r="G27" s="439"/>
      <c r="H27" s="439"/>
    </row>
    <row r="28" spans="1:8" x14ac:dyDescent="0.3">
      <c r="A28" s="440"/>
    </row>
  </sheetData>
  <mergeCells count="1">
    <mergeCell ref="B14:H14"/>
  </mergeCells>
  <pageMargins left="0.7" right="0.7" top="0.75" bottom="0.75" header="0.3" footer="0.3"/>
  <pageSetup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view="pageBreakPreview" zoomScaleNormal="100" zoomScaleSheetLayoutView="100" workbookViewId="0"/>
  </sheetViews>
  <sheetFormatPr defaultRowHeight="13.8" x14ac:dyDescent="0.3"/>
  <cols>
    <col min="1" max="1" width="25" customWidth="1"/>
    <col min="2" max="2" width="22.33203125" customWidth="1"/>
    <col min="3" max="3" width="10" bestFit="1" customWidth="1"/>
    <col min="6" max="6" width="10" bestFit="1" customWidth="1"/>
    <col min="8" max="8" width="9.5546875" customWidth="1"/>
    <col min="9" max="9" width="16.33203125" customWidth="1"/>
    <col min="10" max="10" width="12.44140625" customWidth="1"/>
  </cols>
  <sheetData>
    <row r="1" spans="1:11" ht="20.25" customHeight="1" x14ac:dyDescent="0.3">
      <c r="A1" s="320" t="s">
        <v>716</v>
      </c>
      <c r="I1" s="247"/>
      <c r="J1" s="248"/>
    </row>
    <row r="2" spans="1:11" x14ac:dyDescent="0.3">
      <c r="A2" s="320" t="s">
        <v>267</v>
      </c>
    </row>
    <row r="3" spans="1:11" x14ac:dyDescent="0.3">
      <c r="A3" s="320" t="s">
        <v>268</v>
      </c>
    </row>
    <row r="4" spans="1:11" s="24" customFormat="1" x14ac:dyDescent="0.3">
      <c r="A4" s="327" t="s">
        <v>269</v>
      </c>
      <c r="I4" s="623" t="s">
        <v>412</v>
      </c>
      <c r="J4" s="624"/>
    </row>
    <row r="5" spans="1:11" s="24" customFormat="1" x14ac:dyDescent="0.3">
      <c r="A5" s="21" t="s">
        <v>3</v>
      </c>
      <c r="B5" s="21" t="s">
        <v>4</v>
      </c>
      <c r="C5" s="22">
        <v>2021</v>
      </c>
      <c r="D5" s="22">
        <f>C5+1</f>
        <v>2022</v>
      </c>
      <c r="E5" s="22">
        <f>D5+1</f>
        <v>2023</v>
      </c>
      <c r="F5" s="22">
        <f>E5+1</f>
        <v>2024</v>
      </c>
      <c r="G5" s="22">
        <f>F5+1</f>
        <v>2025</v>
      </c>
      <c r="H5" s="22">
        <f>G5+1</f>
        <v>2026</v>
      </c>
      <c r="I5" s="21" t="s">
        <v>3</v>
      </c>
      <c r="J5" s="21" t="s">
        <v>2</v>
      </c>
    </row>
    <row r="6" spans="1:11" ht="19.5" customHeight="1" x14ac:dyDescent="0.3">
      <c r="A6" s="72" t="s">
        <v>62</v>
      </c>
      <c r="B6" s="42"/>
      <c r="C6" s="17">
        <v>25000</v>
      </c>
      <c r="D6" s="17"/>
      <c r="F6" s="174"/>
      <c r="G6" s="174"/>
      <c r="H6" s="17"/>
      <c r="I6" s="42"/>
      <c r="J6" s="17"/>
    </row>
    <row r="7" spans="1:11" ht="19.5" customHeight="1" x14ac:dyDescent="0.3">
      <c r="A7" s="72" t="s">
        <v>63</v>
      </c>
      <c r="B7" s="42"/>
      <c r="C7" s="17"/>
      <c r="D7" s="17">
        <v>6000</v>
      </c>
      <c r="E7" s="17"/>
      <c r="F7" s="323">
        <v>6000</v>
      </c>
      <c r="G7" s="323"/>
      <c r="H7" s="323">
        <v>6000</v>
      </c>
      <c r="I7" s="17"/>
      <c r="J7" s="17"/>
    </row>
    <row r="8" spans="1:11" s="13" customFormat="1" ht="18" x14ac:dyDescent="0.35">
      <c r="A8" s="31"/>
      <c r="B8" s="31"/>
      <c r="C8" s="31"/>
      <c r="D8" s="31"/>
      <c r="F8" s="17"/>
      <c r="G8" s="17"/>
      <c r="H8" s="17"/>
      <c r="I8" s="17"/>
      <c r="J8" s="17"/>
    </row>
    <row r="9" spans="1:11" s="13" customFormat="1" ht="18" x14ac:dyDescent="0.35">
      <c r="A9" s="96" t="s">
        <v>113</v>
      </c>
      <c r="B9" s="42"/>
      <c r="C9" s="17"/>
      <c r="D9" s="17"/>
      <c r="E9" s="17"/>
      <c r="F9" s="17">
        <v>10000</v>
      </c>
      <c r="G9" s="17"/>
      <c r="H9" s="17"/>
      <c r="I9" s="17"/>
      <c r="J9" s="17"/>
    </row>
    <row r="10" spans="1:11" s="13" customFormat="1" ht="18" x14ac:dyDescent="0.35">
      <c r="A10" s="96" t="s">
        <v>136</v>
      </c>
      <c r="B10" s="2"/>
      <c r="C10" s="17"/>
      <c r="D10" s="19"/>
      <c r="E10" s="17"/>
      <c r="F10" s="17"/>
      <c r="G10" s="17"/>
      <c r="H10" s="17"/>
      <c r="I10" s="17" t="s">
        <v>86</v>
      </c>
      <c r="J10" s="17"/>
    </row>
    <row r="11" spans="1:11" s="13" customFormat="1" ht="18" x14ac:dyDescent="0.35">
      <c r="A11" s="77" t="s">
        <v>64</v>
      </c>
      <c r="B11" s="105"/>
      <c r="C11" s="17"/>
      <c r="D11" s="19"/>
      <c r="E11" s="17"/>
      <c r="F11" s="17"/>
      <c r="G11" s="17"/>
      <c r="H11" s="17"/>
      <c r="I11" s="17" t="s">
        <v>86</v>
      </c>
      <c r="J11" s="17"/>
    </row>
    <row r="12" spans="1:11" s="13" customFormat="1" ht="18" x14ac:dyDescent="0.35">
      <c r="A12" s="96"/>
      <c r="B12" s="2"/>
      <c r="C12" s="17"/>
      <c r="D12" s="19"/>
      <c r="E12" s="17"/>
      <c r="F12" s="17"/>
      <c r="G12" s="17"/>
      <c r="H12" s="17"/>
      <c r="I12" s="41" t="s">
        <v>9</v>
      </c>
      <c r="J12" s="17"/>
    </row>
    <row r="13" spans="1:11" ht="28.5" customHeight="1" thickBot="1" x14ac:dyDescent="0.4">
      <c r="A13" s="73"/>
      <c r="B13" s="11" t="s">
        <v>0</v>
      </c>
      <c r="C13" s="40">
        <f>SUM(C6:C12)</f>
        <v>25000</v>
      </c>
      <c r="D13" s="40">
        <f t="shared" ref="D13:H13" si="0">SUM(D6:D12)</f>
        <v>6000</v>
      </c>
      <c r="E13" s="40">
        <f>SUM(E6:E12)</f>
        <v>0</v>
      </c>
      <c r="F13" s="40">
        <f>SUM(F6:F12)</f>
        <v>16000</v>
      </c>
      <c r="G13" s="40">
        <f t="shared" si="0"/>
        <v>0</v>
      </c>
      <c r="H13" s="40">
        <f t="shared" si="0"/>
        <v>6000</v>
      </c>
      <c r="I13" s="40">
        <f>SUM(C13:H13)</f>
        <v>53000</v>
      </c>
      <c r="J13" s="40">
        <f>SUM(J6:J12)</f>
        <v>0</v>
      </c>
      <c r="K13" s="13"/>
    </row>
    <row r="14" spans="1:11" ht="14.4" thickTop="1" x14ac:dyDescent="0.3">
      <c r="A14" s="45"/>
      <c r="C14" s="4"/>
      <c r="D14" s="4"/>
      <c r="E14" s="4"/>
      <c r="I14" s="102"/>
      <c r="J14" s="4"/>
    </row>
    <row r="15" spans="1:11" x14ac:dyDescent="0.3">
      <c r="A15" s="4" t="s">
        <v>470</v>
      </c>
      <c r="B15" s="4"/>
      <c r="C15" s="17">
        <v>3000</v>
      </c>
      <c r="D15" s="4"/>
      <c r="E15" s="4"/>
      <c r="I15" s="102"/>
      <c r="J15" s="4"/>
    </row>
    <row r="16" spans="1:11" x14ac:dyDescent="0.3">
      <c r="A16" s="4" t="s">
        <v>471</v>
      </c>
      <c r="B16" s="4"/>
      <c r="C16" s="17">
        <v>3000</v>
      </c>
      <c r="D16" s="4"/>
      <c r="E16" s="4"/>
      <c r="J16" s="4"/>
    </row>
    <row r="17" spans="1:10" x14ac:dyDescent="0.3">
      <c r="A17" s="45"/>
      <c r="C17" s="4"/>
      <c r="D17" s="4"/>
      <c r="E17" s="4"/>
      <c r="J17" s="4"/>
    </row>
    <row r="18" spans="1:10" x14ac:dyDescent="0.3">
      <c r="A18" s="45"/>
      <c r="B18" s="321" t="s">
        <v>65</v>
      </c>
      <c r="I18" s="4"/>
      <c r="J18" s="4"/>
    </row>
    <row r="19" spans="1:10" x14ac:dyDescent="0.3">
      <c r="A19" s="76"/>
      <c r="B19" s="109" t="s">
        <v>660</v>
      </c>
      <c r="C19" s="4">
        <v>29000</v>
      </c>
      <c r="D19" s="4">
        <f>C22</f>
        <v>7000</v>
      </c>
      <c r="E19" s="4">
        <f>D22</f>
        <v>4000</v>
      </c>
      <c r="F19" s="4">
        <f>E22</f>
        <v>7000</v>
      </c>
      <c r="G19" s="4">
        <f>F22</f>
        <v>4000</v>
      </c>
      <c r="H19" s="4">
        <f>G22</f>
        <v>7000</v>
      </c>
    </row>
    <row r="20" spans="1:10" x14ac:dyDescent="0.3">
      <c r="A20" s="45"/>
      <c r="B20" s="65" t="s">
        <v>281</v>
      </c>
      <c r="C20" s="46">
        <v>3000</v>
      </c>
      <c r="D20" s="46">
        <f>C20</f>
        <v>3000</v>
      </c>
      <c r="E20" s="46">
        <f>D20</f>
        <v>3000</v>
      </c>
      <c r="F20" s="46">
        <f>E20</f>
        <v>3000</v>
      </c>
      <c r="G20" s="46">
        <f>F20</f>
        <v>3000</v>
      </c>
      <c r="H20" s="46">
        <f>G20</f>
        <v>3000</v>
      </c>
    </row>
    <row r="21" spans="1:10" ht="15.6" x14ac:dyDescent="0.45">
      <c r="A21" s="45"/>
      <c r="B21" s="82" t="s">
        <v>15</v>
      </c>
      <c r="C21" s="66">
        <f>-SUM(C6:C7)</f>
        <v>-25000</v>
      </c>
      <c r="D21" s="66">
        <f t="shared" ref="D21:H21" si="1">-SUM(D6:D7)</f>
        <v>-6000</v>
      </c>
      <c r="E21" s="66">
        <f t="shared" si="1"/>
        <v>0</v>
      </c>
      <c r="F21" s="66">
        <f t="shared" si="1"/>
        <v>-6000</v>
      </c>
      <c r="G21" s="66">
        <f t="shared" si="1"/>
        <v>0</v>
      </c>
      <c r="H21" s="66">
        <f t="shared" si="1"/>
        <v>-6000</v>
      </c>
    </row>
    <row r="22" spans="1:10" ht="15.6" x14ac:dyDescent="0.45">
      <c r="A22" s="45"/>
      <c r="B22" s="83" t="s">
        <v>14</v>
      </c>
      <c r="C22" s="67">
        <f t="shared" ref="C22:H22" si="2">SUM(C19:C21)</f>
        <v>7000</v>
      </c>
      <c r="D22" s="67">
        <f t="shared" si="2"/>
        <v>4000</v>
      </c>
      <c r="E22" s="67">
        <f t="shared" si="2"/>
        <v>7000</v>
      </c>
      <c r="F22" s="67">
        <f t="shared" si="2"/>
        <v>4000</v>
      </c>
      <c r="G22" s="67">
        <f t="shared" si="2"/>
        <v>7000</v>
      </c>
      <c r="H22" s="67">
        <f t="shared" si="2"/>
        <v>4000</v>
      </c>
    </row>
    <row r="23" spans="1:10" x14ac:dyDescent="0.3">
      <c r="A23" s="45"/>
      <c r="C23" s="3"/>
      <c r="D23" s="3"/>
      <c r="E23" s="3"/>
      <c r="F23" s="3"/>
      <c r="G23" s="3"/>
      <c r="H23" s="3"/>
    </row>
    <row r="24" spans="1:10" x14ac:dyDescent="0.3">
      <c r="B24" s="321" t="s">
        <v>114</v>
      </c>
    </row>
    <row r="25" spans="1:10" x14ac:dyDescent="0.3">
      <c r="B25" s="109" t="s">
        <v>660</v>
      </c>
      <c r="C25" s="4">
        <v>12000</v>
      </c>
      <c r="D25" s="4">
        <f>C28</f>
        <v>15000</v>
      </c>
      <c r="E25" s="4">
        <f>D28</f>
        <v>18000</v>
      </c>
      <c r="F25" s="4">
        <f>E28</f>
        <v>21000</v>
      </c>
      <c r="G25" s="4">
        <f>F28</f>
        <v>14000</v>
      </c>
      <c r="H25" s="4">
        <f>G28</f>
        <v>17000</v>
      </c>
    </row>
    <row r="26" spans="1:10" x14ac:dyDescent="0.3">
      <c r="B26" s="65" t="s">
        <v>281</v>
      </c>
      <c r="C26" s="46">
        <v>3000</v>
      </c>
      <c r="D26" s="46">
        <f>C26</f>
        <v>3000</v>
      </c>
      <c r="E26" s="46">
        <f>D26</f>
        <v>3000</v>
      </c>
      <c r="F26" s="46">
        <f>E26</f>
        <v>3000</v>
      </c>
      <c r="G26" s="46">
        <f>F26</f>
        <v>3000</v>
      </c>
      <c r="H26" s="46">
        <f>G26</f>
        <v>3000</v>
      </c>
    </row>
    <row r="27" spans="1:10" ht="15.6" x14ac:dyDescent="0.45">
      <c r="B27" s="82" t="s">
        <v>15</v>
      </c>
      <c r="C27" s="66">
        <f t="shared" ref="C27:H27" si="3">-C9</f>
        <v>0</v>
      </c>
      <c r="D27" s="66">
        <f t="shared" si="3"/>
        <v>0</v>
      </c>
      <c r="E27" s="66">
        <f t="shared" si="3"/>
        <v>0</v>
      </c>
      <c r="F27" s="66">
        <f t="shared" si="3"/>
        <v>-10000</v>
      </c>
      <c r="G27" s="66">
        <f t="shared" si="3"/>
        <v>0</v>
      </c>
      <c r="H27" s="66">
        <f t="shared" si="3"/>
        <v>0</v>
      </c>
    </row>
    <row r="28" spans="1:10" ht="15.6" x14ac:dyDescent="0.45">
      <c r="B28" s="83" t="s">
        <v>14</v>
      </c>
      <c r="C28" s="67">
        <f t="shared" ref="C28:H28" si="4">SUM(C25:C27)</f>
        <v>15000</v>
      </c>
      <c r="D28" s="67">
        <f t="shared" si="4"/>
        <v>18000</v>
      </c>
      <c r="E28" s="67">
        <f t="shared" si="4"/>
        <v>21000</v>
      </c>
      <c r="F28" s="67">
        <f t="shared" si="4"/>
        <v>14000</v>
      </c>
      <c r="G28" s="67">
        <f t="shared" si="4"/>
        <v>17000</v>
      </c>
      <c r="H28" s="67">
        <f t="shared" si="4"/>
        <v>20000</v>
      </c>
    </row>
    <row r="30" spans="1:10" x14ac:dyDescent="0.3">
      <c r="B30" s="45"/>
    </row>
  </sheetData>
  <mergeCells count="1">
    <mergeCell ref="I4:J4"/>
  </mergeCells>
  <pageMargins left="0.7" right="0.7" top="0.75" bottom="0.75" header="0.3" footer="0.3"/>
  <pageSetup scale="89" orientation="landscape" r:id="rId1"/>
  <headerFooter>
    <oddHeader>&amp;C&amp;"-,Bold"&amp;12CIP DEPARTMENT INFORMATION REQUEST FORM
DEPARTMENT:   POLICE IMS and FACILITIES</oddHeader>
    <oddFooter>&amp;L&amp;A&amp;RPage &amp;P of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view="pageBreakPreview" zoomScaleNormal="100" zoomScaleSheetLayoutView="100" workbookViewId="0"/>
  </sheetViews>
  <sheetFormatPr defaultRowHeight="13.8" x14ac:dyDescent="0.3"/>
  <cols>
    <col min="1" max="1" width="28.6640625" customWidth="1"/>
    <col min="2" max="2" width="32" customWidth="1"/>
    <col min="3" max="3" width="10" customWidth="1"/>
    <col min="9" max="9" width="13.44140625" customWidth="1"/>
    <col min="10" max="10" width="12.44140625" customWidth="1"/>
  </cols>
  <sheetData>
    <row r="1" spans="1:10" ht="20.25" customHeight="1" x14ac:dyDescent="0.3">
      <c r="A1" s="252" t="s">
        <v>716</v>
      </c>
      <c r="I1" s="247"/>
      <c r="J1" s="248"/>
    </row>
    <row r="2" spans="1:10" x14ac:dyDescent="0.3">
      <c r="A2" s="252" t="s">
        <v>267</v>
      </c>
    </row>
    <row r="3" spans="1:10" x14ac:dyDescent="0.3">
      <c r="A3" s="252" t="s">
        <v>268</v>
      </c>
    </row>
    <row r="4" spans="1:10" s="24" customFormat="1" x14ac:dyDescent="0.3">
      <c r="A4" s="264" t="s">
        <v>269</v>
      </c>
      <c r="I4" s="623" t="s">
        <v>412</v>
      </c>
      <c r="J4" s="624"/>
    </row>
    <row r="5" spans="1:10" s="24" customFormat="1" x14ac:dyDescent="0.3">
      <c r="A5" s="21" t="s">
        <v>3</v>
      </c>
      <c r="B5" s="21" t="s">
        <v>4</v>
      </c>
      <c r="C5" s="22">
        <v>2021</v>
      </c>
      <c r="D5" s="22">
        <f>C5+1</f>
        <v>2022</v>
      </c>
      <c r="E5" s="22">
        <f>D5+1</f>
        <v>2023</v>
      </c>
      <c r="F5" s="22">
        <f>E5+1</f>
        <v>2024</v>
      </c>
      <c r="G5" s="22">
        <f>F5+1</f>
        <v>2025</v>
      </c>
      <c r="H5" s="22">
        <f>G5+1</f>
        <v>2026</v>
      </c>
      <c r="I5" s="21" t="s">
        <v>3</v>
      </c>
      <c r="J5" s="21" t="s">
        <v>2</v>
      </c>
    </row>
    <row r="6" spans="1:10" s="13" customFormat="1" ht="56.25" customHeight="1" x14ac:dyDescent="0.35">
      <c r="A6" s="170" t="s">
        <v>177</v>
      </c>
      <c r="B6" s="170" t="s">
        <v>712</v>
      </c>
      <c r="C6" s="88">
        <v>10500</v>
      </c>
      <c r="D6" s="88"/>
      <c r="E6" s="88"/>
      <c r="F6" s="88"/>
      <c r="G6" s="88"/>
      <c r="H6" s="88"/>
      <c r="I6" s="190"/>
      <c r="J6" s="199"/>
    </row>
    <row r="7" spans="1:10" s="13" customFormat="1" ht="109.5" customHeight="1" x14ac:dyDescent="0.35">
      <c r="A7" s="170" t="s">
        <v>55</v>
      </c>
      <c r="B7" s="170" t="s">
        <v>713</v>
      </c>
      <c r="C7" s="88"/>
      <c r="D7" s="88"/>
      <c r="E7" s="202">
        <v>30000</v>
      </c>
      <c r="F7" s="88"/>
      <c r="G7" s="88"/>
      <c r="H7" s="88"/>
      <c r="I7" s="200"/>
      <c r="J7" s="200"/>
    </row>
    <row r="8" spans="1:10" s="257" customFormat="1" ht="69" x14ac:dyDescent="0.35">
      <c r="A8" s="282" t="s">
        <v>178</v>
      </c>
      <c r="B8" s="168" t="s">
        <v>276</v>
      </c>
      <c r="C8" s="88">
        <v>75000</v>
      </c>
      <c r="D8" s="88">
        <v>75000</v>
      </c>
      <c r="E8" s="88">
        <v>75000</v>
      </c>
      <c r="F8" s="88"/>
      <c r="G8" s="88"/>
      <c r="H8" s="88"/>
      <c r="I8" s="200"/>
      <c r="J8" s="200"/>
    </row>
    <row r="9" spans="1:10" s="13" customFormat="1" ht="18" x14ac:dyDescent="0.35">
      <c r="A9" s="256" t="s">
        <v>277</v>
      </c>
      <c r="B9" s="2"/>
      <c r="C9" s="17"/>
      <c r="D9" s="17"/>
      <c r="E9" s="17"/>
      <c r="F9" s="17"/>
      <c r="G9" s="17"/>
      <c r="H9" s="17">
        <v>50000</v>
      </c>
      <c r="I9" s="200"/>
      <c r="J9" s="200"/>
    </row>
    <row r="10" spans="1:10" s="13" customFormat="1" ht="18" x14ac:dyDescent="0.35">
      <c r="A10" s="236"/>
      <c r="B10" s="236"/>
      <c r="C10" s="236"/>
      <c r="D10" s="236"/>
      <c r="E10" s="236"/>
      <c r="F10" s="236"/>
      <c r="G10" s="236"/>
      <c r="H10" s="236"/>
      <c r="I10" s="44" t="s">
        <v>9</v>
      </c>
      <c r="J10" s="42"/>
    </row>
    <row r="11" spans="1:10" ht="14.4" thickBot="1" x14ac:dyDescent="0.35">
      <c r="A11" s="12"/>
      <c r="B11" s="11" t="s">
        <v>0</v>
      </c>
      <c r="C11" s="399">
        <f t="shared" ref="C11:H11" si="0">SUM(C6:C9)</f>
        <v>85500</v>
      </c>
      <c r="D11" s="399">
        <f t="shared" si="0"/>
        <v>75000</v>
      </c>
      <c r="E11" s="399">
        <f t="shared" si="0"/>
        <v>105000</v>
      </c>
      <c r="F11" s="399">
        <f t="shared" si="0"/>
        <v>0</v>
      </c>
      <c r="G11" s="399">
        <f t="shared" si="0"/>
        <v>0</v>
      </c>
      <c r="H11" s="399">
        <f t="shared" si="0"/>
        <v>50000</v>
      </c>
      <c r="I11" s="1">
        <f>SUM(C11:H11)</f>
        <v>315500</v>
      </c>
      <c r="J11" s="111">
        <f>SUM(J6:J10)</f>
        <v>0</v>
      </c>
    </row>
    <row r="12" spans="1:10" ht="14.4" thickTop="1" x14ac:dyDescent="0.3"/>
    <row r="13" spans="1:10" x14ac:dyDescent="0.3">
      <c r="B13" s="4" t="s">
        <v>411</v>
      </c>
      <c r="C13" s="17">
        <v>15000</v>
      </c>
      <c r="D13" s="4"/>
      <c r="E13" s="4"/>
      <c r="F13" s="48"/>
      <c r="G13" s="4"/>
      <c r="H13" s="4"/>
    </row>
    <row r="14" spans="1:10" x14ac:dyDescent="0.3">
      <c r="B14" s="102"/>
      <c r="C14" s="102"/>
      <c r="D14" s="102"/>
      <c r="E14" s="102"/>
      <c r="F14" s="102"/>
      <c r="G14" s="102"/>
      <c r="H14" s="102"/>
    </row>
    <row r="15" spans="1:10" x14ac:dyDescent="0.3">
      <c r="B15" s="109" t="s">
        <v>644</v>
      </c>
      <c r="C15" s="4">
        <v>32000</v>
      </c>
      <c r="D15" s="4">
        <f>C19</f>
        <v>31500</v>
      </c>
      <c r="E15" s="4">
        <f>D19</f>
        <v>41500</v>
      </c>
      <c r="F15" s="4">
        <f>E19</f>
        <v>21500</v>
      </c>
      <c r="G15" s="4">
        <f>F19</f>
        <v>31500</v>
      </c>
      <c r="H15" s="4">
        <f>G19</f>
        <v>41500</v>
      </c>
    </row>
    <row r="16" spans="1:10" x14ac:dyDescent="0.3">
      <c r="B16" s="65" t="s">
        <v>281</v>
      </c>
      <c r="C16" s="46">
        <v>10000</v>
      </c>
      <c r="D16" s="46">
        <f>C16</f>
        <v>10000</v>
      </c>
      <c r="E16" s="46">
        <f>D16</f>
        <v>10000</v>
      </c>
      <c r="F16" s="46">
        <f t="shared" ref="F16:H16" si="1">E16</f>
        <v>10000</v>
      </c>
      <c r="G16" s="46">
        <f t="shared" si="1"/>
        <v>10000</v>
      </c>
      <c r="H16" s="46">
        <f t="shared" si="1"/>
        <v>10000</v>
      </c>
    </row>
    <row r="17" spans="2:8" s="169" customFormat="1" x14ac:dyDescent="0.3">
      <c r="B17" s="65" t="s">
        <v>714</v>
      </c>
      <c r="C17" s="46">
        <v>75000</v>
      </c>
      <c r="D17" s="46">
        <v>75000</v>
      </c>
      <c r="E17" s="46">
        <v>75000</v>
      </c>
      <c r="F17" s="46">
        <v>0</v>
      </c>
      <c r="G17" s="46">
        <v>0</v>
      </c>
      <c r="H17" s="46">
        <v>0</v>
      </c>
    </row>
    <row r="18" spans="2:8" ht="15.6" x14ac:dyDescent="0.45">
      <c r="B18" s="65" t="s">
        <v>15</v>
      </c>
      <c r="C18" s="66">
        <f>-C11</f>
        <v>-85500</v>
      </c>
      <c r="D18" s="66">
        <f t="shared" ref="D18:H18" si="2">-D11</f>
        <v>-75000</v>
      </c>
      <c r="E18" s="66">
        <f t="shared" si="2"/>
        <v>-105000</v>
      </c>
      <c r="F18" s="66">
        <f t="shared" si="2"/>
        <v>0</v>
      </c>
      <c r="G18" s="66">
        <f t="shared" si="2"/>
        <v>0</v>
      </c>
      <c r="H18" s="66">
        <f t="shared" si="2"/>
        <v>-50000</v>
      </c>
    </row>
    <row r="19" spans="2:8" ht="15.6" x14ac:dyDescent="0.45">
      <c r="B19" s="82" t="s">
        <v>14</v>
      </c>
      <c r="C19" s="67">
        <f t="shared" ref="C19:H19" si="3">SUM(C15:C18)</f>
        <v>31500</v>
      </c>
      <c r="D19" s="67">
        <f t="shared" si="3"/>
        <v>41500</v>
      </c>
      <c r="E19" s="67">
        <f t="shared" si="3"/>
        <v>21500</v>
      </c>
      <c r="F19" s="67">
        <f t="shared" si="3"/>
        <v>31500</v>
      </c>
      <c r="G19" s="67">
        <f t="shared" si="3"/>
        <v>41500</v>
      </c>
      <c r="H19" s="67">
        <f t="shared" si="3"/>
        <v>1500</v>
      </c>
    </row>
    <row r="24" spans="2:8" s="102" customFormat="1" x14ac:dyDescent="0.3"/>
    <row r="25" spans="2:8" s="102" customFormat="1" x14ac:dyDescent="0.3"/>
    <row r="26" spans="2:8" s="102" customFormat="1" x14ac:dyDescent="0.3"/>
    <row r="27" spans="2:8" s="102" customFormat="1" x14ac:dyDescent="0.3"/>
    <row r="33" spans="1:1" x14ac:dyDescent="0.3">
      <c r="A33" s="90"/>
    </row>
  </sheetData>
  <mergeCells count="1">
    <mergeCell ref="I4:J4"/>
  </mergeCells>
  <pageMargins left="0.7" right="0.7" top="0.75" bottom="0.75" header="0.3" footer="0.3"/>
  <pageSetup scale="95" orientation="landscape" r:id="rId1"/>
  <headerFooter>
    <oddHeader>&amp;C&amp;"-,Bold"&amp;12CIP DEPARTMENT INFORMATION REQUEST FORM
DEPARTMENT: TOWN HALL IMS</oddHeader>
    <oddFooter>&amp;L&amp;A&amp;RPage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view="pageBreakPreview" zoomScaleNormal="100" zoomScaleSheetLayoutView="100" workbookViewId="0"/>
  </sheetViews>
  <sheetFormatPr defaultColWidth="9" defaultRowHeight="13.8" x14ac:dyDescent="0.3"/>
  <cols>
    <col min="1" max="1" width="25" customWidth="1"/>
    <col min="2" max="2" width="32" customWidth="1"/>
    <col min="3" max="3" width="9.88671875" bestFit="1" customWidth="1"/>
    <col min="4" max="4" width="9.6640625" customWidth="1"/>
    <col min="5" max="5" width="10.5546875" customWidth="1"/>
    <col min="6" max="6" width="10.44140625" customWidth="1"/>
    <col min="7" max="7" width="9.88671875" customWidth="1"/>
    <col min="8" max="8" width="10.5546875" bestFit="1" customWidth="1"/>
    <col min="9" max="9" width="15.5546875" customWidth="1"/>
    <col min="10" max="10" width="12.44140625" customWidth="1"/>
  </cols>
  <sheetData>
    <row r="1" spans="1:10" ht="20.25" customHeight="1" x14ac:dyDescent="0.3">
      <c r="A1" s="252" t="s">
        <v>716</v>
      </c>
      <c r="I1" s="247"/>
      <c r="J1" s="248"/>
    </row>
    <row r="2" spans="1:10" x14ac:dyDescent="0.3">
      <c r="A2" s="252" t="s">
        <v>267</v>
      </c>
    </row>
    <row r="3" spans="1:10" x14ac:dyDescent="0.3">
      <c r="A3" s="252" t="s">
        <v>268</v>
      </c>
    </row>
    <row r="4" spans="1:10" s="24" customFormat="1" x14ac:dyDescent="0.3">
      <c r="A4" s="264" t="s">
        <v>269</v>
      </c>
      <c r="I4" s="623" t="s">
        <v>412</v>
      </c>
      <c r="J4" s="624"/>
    </row>
    <row r="5" spans="1:10" s="24" customFormat="1" x14ac:dyDescent="0.3">
      <c r="A5" s="21" t="s">
        <v>3</v>
      </c>
      <c r="B5" s="21" t="s">
        <v>8</v>
      </c>
      <c r="C5" s="22">
        <v>2021</v>
      </c>
      <c r="D5" s="22">
        <f>C5+1</f>
        <v>2022</v>
      </c>
      <c r="E5" s="22">
        <f>D5+1</f>
        <v>2023</v>
      </c>
      <c r="F5" s="22">
        <f>E5+1</f>
        <v>2024</v>
      </c>
      <c r="G5" s="22">
        <f>F5+1</f>
        <v>2025</v>
      </c>
      <c r="H5" s="22">
        <f>G5+1</f>
        <v>2026</v>
      </c>
      <c r="I5" s="21" t="s">
        <v>3</v>
      </c>
      <c r="J5" s="21" t="s">
        <v>2</v>
      </c>
    </row>
    <row r="6" spans="1:10" ht="48.75" customHeight="1" x14ac:dyDescent="0.3">
      <c r="A6" s="173" t="s">
        <v>179</v>
      </c>
      <c r="B6" s="173" t="s">
        <v>180</v>
      </c>
      <c r="C6" s="88">
        <v>0</v>
      </c>
      <c r="D6" s="88"/>
      <c r="E6" s="88">
        <v>500000</v>
      </c>
      <c r="F6" s="88"/>
      <c r="G6" s="61"/>
      <c r="H6" s="61"/>
      <c r="I6" s="28"/>
      <c r="J6" s="28"/>
    </row>
    <row r="7" spans="1:10" s="13" customFormat="1" ht="55.2" x14ac:dyDescent="0.35">
      <c r="A7" s="173" t="s">
        <v>389</v>
      </c>
      <c r="B7" s="173" t="s">
        <v>128</v>
      </c>
      <c r="C7" s="199">
        <v>35000</v>
      </c>
      <c r="D7" s="201"/>
      <c r="E7" s="200"/>
      <c r="F7" s="200"/>
      <c r="G7" s="61"/>
      <c r="H7" s="61"/>
      <c r="I7" s="28"/>
      <c r="J7" s="28"/>
    </row>
    <row r="8" spans="1:10" s="13" customFormat="1" ht="28.5" customHeight="1" x14ac:dyDescent="0.35">
      <c r="A8" s="173" t="s">
        <v>129</v>
      </c>
      <c r="B8" s="173" t="s">
        <v>130</v>
      </c>
      <c r="C8" s="202">
        <v>5000</v>
      </c>
      <c r="D8" s="88"/>
      <c r="E8" s="88"/>
      <c r="F8" s="88"/>
      <c r="G8" s="61"/>
      <c r="H8" s="61"/>
      <c r="I8" s="28"/>
      <c r="J8" s="28"/>
    </row>
    <row r="9" spans="1:10" s="13" customFormat="1" ht="27.6" x14ac:dyDescent="0.35">
      <c r="A9" s="173" t="s">
        <v>152</v>
      </c>
      <c r="B9" s="173" t="s">
        <v>131</v>
      </c>
      <c r="C9" s="88">
        <v>15000</v>
      </c>
      <c r="D9" s="88"/>
      <c r="E9" s="88"/>
      <c r="F9" s="88"/>
      <c r="G9" s="61"/>
      <c r="H9" s="61"/>
      <c r="I9" s="31"/>
      <c r="J9" s="31"/>
    </row>
    <row r="10" spans="1:10" s="13" customFormat="1" ht="27.6" x14ac:dyDescent="0.35">
      <c r="A10" s="173" t="s">
        <v>132</v>
      </c>
      <c r="B10" s="173"/>
      <c r="C10" s="88">
        <v>30000</v>
      </c>
      <c r="D10" s="88"/>
      <c r="E10" s="88"/>
      <c r="F10" s="88"/>
      <c r="G10" s="61"/>
      <c r="H10" s="61"/>
      <c r="I10" s="31"/>
      <c r="J10" s="31"/>
    </row>
    <row r="11" spans="1:10" s="106" customFormat="1" ht="27.6" x14ac:dyDescent="0.35">
      <c r="A11" s="173" t="s">
        <v>135</v>
      </c>
      <c r="B11" s="173" t="s">
        <v>390</v>
      </c>
      <c r="C11" s="88"/>
      <c r="D11" s="236"/>
      <c r="E11" s="88">
        <v>100000</v>
      </c>
      <c r="F11" s="88"/>
      <c r="G11" s="61"/>
      <c r="H11" s="61"/>
      <c r="I11" s="31"/>
      <c r="J11" s="31"/>
    </row>
    <row r="12" spans="1:10" s="106" customFormat="1" ht="27.6" x14ac:dyDescent="0.35">
      <c r="A12" s="173" t="s">
        <v>133</v>
      </c>
      <c r="B12" s="173" t="s">
        <v>134</v>
      </c>
      <c r="C12" s="88"/>
      <c r="D12" s="61"/>
      <c r="E12" s="88">
        <v>7500</v>
      </c>
      <c r="F12" s="202">
        <v>25000</v>
      </c>
      <c r="G12" s="202">
        <v>25000</v>
      </c>
      <c r="H12" s="202"/>
      <c r="I12" s="31"/>
      <c r="J12" s="31"/>
    </row>
    <row r="13" spans="1:10" s="13" customFormat="1" ht="18" x14ac:dyDescent="0.35">
      <c r="A13" s="50"/>
      <c r="B13" s="128"/>
      <c r="C13" s="18"/>
      <c r="D13" s="18"/>
      <c r="E13" s="18"/>
      <c r="F13" s="18"/>
      <c r="G13" s="18"/>
      <c r="H13" s="18"/>
      <c r="I13" s="41" t="s">
        <v>9</v>
      </c>
      <c r="J13" s="31"/>
    </row>
    <row r="14" spans="1:10" ht="18.75" customHeight="1" thickBot="1" x14ac:dyDescent="0.35">
      <c r="B14" s="108" t="s">
        <v>0</v>
      </c>
      <c r="C14" s="1">
        <f t="shared" ref="C14:H14" si="0">SUM(C6:C13)</f>
        <v>85000</v>
      </c>
      <c r="D14" s="1">
        <f t="shared" si="0"/>
        <v>0</v>
      </c>
      <c r="E14" s="1">
        <f t="shared" si="0"/>
        <v>607500</v>
      </c>
      <c r="F14" s="1">
        <f t="shared" si="0"/>
        <v>25000</v>
      </c>
      <c r="G14" s="1">
        <f t="shared" si="0"/>
        <v>25000</v>
      </c>
      <c r="H14" s="1">
        <f t="shared" si="0"/>
        <v>0</v>
      </c>
      <c r="I14" s="1">
        <f>SUM(C14:H14)</f>
        <v>742500</v>
      </c>
      <c r="J14" s="30"/>
    </row>
    <row r="15" spans="1:10" ht="14.4" thickTop="1" x14ac:dyDescent="0.3">
      <c r="E15" s="4"/>
      <c r="I15" s="102"/>
    </row>
    <row r="16" spans="1:10" x14ac:dyDescent="0.3">
      <c r="B16" s="324" t="s">
        <v>411</v>
      </c>
      <c r="C16" s="17">
        <v>0</v>
      </c>
      <c r="D16" s="4"/>
      <c r="E16" s="4"/>
      <c r="F16" s="48"/>
      <c r="G16" s="4"/>
      <c r="H16" s="4"/>
      <c r="I16" s="102"/>
    </row>
    <row r="17" spans="2:14" x14ac:dyDescent="0.3">
      <c r="B17" s="102"/>
      <c r="C17" s="102"/>
      <c r="D17" s="102"/>
      <c r="E17" s="102"/>
      <c r="F17" s="102"/>
      <c r="G17" s="102"/>
      <c r="H17" s="102"/>
      <c r="I17" s="102"/>
    </row>
    <row r="18" spans="2:14" x14ac:dyDescent="0.3">
      <c r="B18" s="109" t="s">
        <v>665</v>
      </c>
    </row>
    <row r="19" spans="2:14" ht="15.6" x14ac:dyDescent="0.45">
      <c r="B19" s="82" t="s">
        <v>104</v>
      </c>
      <c r="C19" s="137">
        <v>500</v>
      </c>
      <c r="D19" s="4"/>
      <c r="E19" s="4"/>
      <c r="F19" s="4"/>
      <c r="G19" s="4"/>
      <c r="H19" s="4"/>
      <c r="M19" s="176" t="s">
        <v>121</v>
      </c>
      <c r="N19" s="93">
        <f>E23</f>
        <v>650000</v>
      </c>
    </row>
    <row r="20" spans="2:14" s="102" customFormat="1" ht="15.6" x14ac:dyDescent="0.45">
      <c r="B20" s="82" t="s">
        <v>126</v>
      </c>
      <c r="C20" s="171">
        <v>91000</v>
      </c>
      <c r="F20" s="4"/>
      <c r="G20" s="4"/>
      <c r="H20" s="4"/>
      <c r="M20" s="92" t="s">
        <v>58</v>
      </c>
      <c r="N20" s="176">
        <v>25</v>
      </c>
    </row>
    <row r="21" spans="2:14" s="102" customFormat="1" x14ac:dyDescent="0.3">
      <c r="B21" s="82"/>
      <c r="C21" s="4">
        <f>SUM(C19:C20)</f>
        <v>91500</v>
      </c>
      <c r="D21" s="4">
        <f>C25</f>
        <v>6500</v>
      </c>
      <c r="E21" s="4">
        <f>D25</f>
        <v>6500</v>
      </c>
      <c r="F21" s="4">
        <f>E25</f>
        <v>49000</v>
      </c>
      <c r="G21" s="4">
        <f>F25</f>
        <v>24000</v>
      </c>
      <c r="H21" s="4">
        <f>G25</f>
        <v>-1000</v>
      </c>
      <c r="M21" s="92" t="s">
        <v>59</v>
      </c>
      <c r="N21" s="91">
        <v>0.05</v>
      </c>
    </row>
    <row r="22" spans="2:14" x14ac:dyDescent="0.3">
      <c r="B22" s="65" t="s">
        <v>281</v>
      </c>
      <c r="C22" s="46">
        <v>0</v>
      </c>
      <c r="D22" s="46">
        <v>0</v>
      </c>
      <c r="E22" s="46">
        <v>0</v>
      </c>
      <c r="F22" s="46">
        <v>0</v>
      </c>
      <c r="G22" s="46">
        <v>0</v>
      </c>
      <c r="H22" s="46">
        <v>0</v>
      </c>
      <c r="M22" s="92" t="s">
        <v>60</v>
      </c>
      <c r="N22" s="35">
        <f>PMT(N21,N20,N19)</f>
        <v>-46119.097244499251</v>
      </c>
    </row>
    <row r="23" spans="2:14" s="172" customFormat="1" x14ac:dyDescent="0.3">
      <c r="B23" s="65" t="s">
        <v>48</v>
      </c>
      <c r="C23" s="46">
        <v>0</v>
      </c>
      <c r="D23" s="46">
        <v>0</v>
      </c>
      <c r="E23" s="46">
        <v>650000</v>
      </c>
      <c r="F23" s="46">
        <v>0</v>
      </c>
      <c r="G23" s="46">
        <v>0</v>
      </c>
      <c r="H23" s="46">
        <v>0</v>
      </c>
    </row>
    <row r="24" spans="2:14" ht="15.6" x14ac:dyDescent="0.45">
      <c r="B24" s="65" t="s">
        <v>15</v>
      </c>
      <c r="C24" s="66">
        <f t="shared" ref="C24:H24" si="1">-C14</f>
        <v>-85000</v>
      </c>
      <c r="D24" s="66">
        <f t="shared" si="1"/>
        <v>0</v>
      </c>
      <c r="E24" s="66">
        <f t="shared" si="1"/>
        <v>-607500</v>
      </c>
      <c r="F24" s="66">
        <f t="shared" si="1"/>
        <v>-25000</v>
      </c>
      <c r="G24" s="66">
        <f t="shared" si="1"/>
        <v>-25000</v>
      </c>
      <c r="H24" s="66">
        <f t="shared" si="1"/>
        <v>0</v>
      </c>
    </row>
    <row r="25" spans="2:14" ht="15.6" x14ac:dyDescent="0.45">
      <c r="B25" s="82" t="s">
        <v>14</v>
      </c>
      <c r="C25" s="67">
        <f>SUM(C21:C24)</f>
        <v>6500</v>
      </c>
      <c r="D25" s="67">
        <f t="shared" ref="D25:H25" si="2">SUM(D21:D24)</f>
        <v>6500</v>
      </c>
      <c r="E25" s="67">
        <f t="shared" si="2"/>
        <v>49000</v>
      </c>
      <c r="F25" s="67">
        <f t="shared" si="2"/>
        <v>24000</v>
      </c>
      <c r="G25" s="67">
        <f t="shared" si="2"/>
        <v>-1000</v>
      </c>
      <c r="H25" s="67">
        <f t="shared" si="2"/>
        <v>-1000</v>
      </c>
    </row>
  </sheetData>
  <mergeCells count="1">
    <mergeCell ref="I4:J4"/>
  </mergeCells>
  <pageMargins left="0.7" right="0.7" top="0.75" bottom="0.75" header="0.3" footer="0.3"/>
  <pageSetup scale="93" orientation="landscape" r:id="rId1"/>
  <headerFooter>
    <oddHeader>&amp;C&amp;"-,Bold"&amp;12CIP DEPARTMENT INFORMATION REQUEST FORM
DEPARTMENT: TOWN HALL REPAIRS</oddHeader>
    <oddFooter>&amp;L&amp;A&amp;RPage &amp;P of &amp;N</oddFooter>
  </headerFooter>
  <rowBreaks count="1" manualBreakCount="1">
    <brk id="25" max="9"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view="pageBreakPreview" zoomScaleNormal="100" zoomScaleSheetLayoutView="100" workbookViewId="0"/>
  </sheetViews>
  <sheetFormatPr defaultColWidth="9.109375" defaultRowHeight="13.8" x14ac:dyDescent="0.3"/>
  <cols>
    <col min="1" max="1" width="21.44140625" style="176" customWidth="1"/>
    <col min="2" max="2" width="21.88671875" style="176" customWidth="1"/>
    <col min="3" max="3" width="10.5546875" style="176" customWidth="1"/>
    <col min="4" max="4" width="10.88671875" style="176" bestFit="1" customWidth="1"/>
    <col min="5" max="5" width="10.33203125" style="176" customWidth="1"/>
    <col min="6" max="6" width="9.88671875" style="176" customWidth="1"/>
    <col min="7" max="7" width="10" style="176" bestFit="1" customWidth="1"/>
    <col min="8" max="8" width="10.109375" style="176" customWidth="1"/>
    <col min="9" max="9" width="14.88671875" style="176" customWidth="1"/>
    <col min="10" max="10" width="12.44140625" style="176" customWidth="1"/>
    <col min="11" max="16384" width="9.109375" style="176"/>
  </cols>
  <sheetData>
    <row r="1" spans="1:15" ht="20.25" customHeight="1" x14ac:dyDescent="0.3">
      <c r="A1" s="25" t="s">
        <v>716</v>
      </c>
      <c r="I1" s="247"/>
      <c r="J1" s="248"/>
    </row>
    <row r="2" spans="1:15" ht="18" x14ac:dyDescent="0.35">
      <c r="A2" s="25" t="s">
        <v>267</v>
      </c>
      <c r="I2" s="369" t="s">
        <v>282</v>
      </c>
    </row>
    <row r="3" spans="1:15" x14ac:dyDescent="0.3">
      <c r="A3" s="25" t="s">
        <v>268</v>
      </c>
    </row>
    <row r="4" spans="1:15" s="24" customFormat="1" x14ac:dyDescent="0.3">
      <c r="A4" s="246" t="s">
        <v>269</v>
      </c>
      <c r="I4" s="623" t="s">
        <v>412</v>
      </c>
      <c r="J4" s="624"/>
    </row>
    <row r="5" spans="1:15" s="24" customFormat="1" x14ac:dyDescent="0.3">
      <c r="A5" s="21" t="s">
        <v>3</v>
      </c>
      <c r="B5" s="21" t="s">
        <v>4</v>
      </c>
      <c r="C5" s="22">
        <v>2021</v>
      </c>
      <c r="D5" s="22">
        <f>C5+1</f>
        <v>2022</v>
      </c>
      <c r="E5" s="22">
        <f>D5+1</f>
        <v>2023</v>
      </c>
      <c r="F5" s="22">
        <f>E5+1</f>
        <v>2024</v>
      </c>
      <c r="G5" s="22">
        <f>F5+1</f>
        <v>2025</v>
      </c>
      <c r="H5" s="22">
        <f>G5+1</f>
        <v>2026</v>
      </c>
      <c r="I5" s="21" t="s">
        <v>3</v>
      </c>
      <c r="J5" s="21" t="s">
        <v>2</v>
      </c>
    </row>
    <row r="6" spans="1:15" ht="124.5" customHeight="1" x14ac:dyDescent="0.3">
      <c r="A6" s="146" t="s">
        <v>270</v>
      </c>
      <c r="B6" s="250" t="s">
        <v>271</v>
      </c>
      <c r="C6" s="179"/>
      <c r="D6" s="313"/>
      <c r="E6" s="179"/>
      <c r="F6" s="179"/>
      <c r="G6" s="179"/>
      <c r="H6" s="179"/>
      <c r="I6" s="282" t="s">
        <v>514</v>
      </c>
      <c r="J6" s="179"/>
    </row>
    <row r="7" spans="1:15" ht="55.2" x14ac:dyDescent="0.3">
      <c r="A7" s="146" t="s">
        <v>272</v>
      </c>
      <c r="B7" s="250" t="s">
        <v>340</v>
      </c>
      <c r="C7" s="179"/>
      <c r="D7" s="174"/>
      <c r="E7" s="238"/>
      <c r="F7" s="238"/>
      <c r="G7" s="313">
        <v>163000</v>
      </c>
      <c r="H7" s="238"/>
      <c r="I7" s="28"/>
      <c r="J7" s="179"/>
    </row>
    <row r="8" spans="1:15" s="237" customFormat="1" ht="27.6" x14ac:dyDescent="0.35">
      <c r="A8" s="146" t="s">
        <v>273</v>
      </c>
      <c r="B8" s="235"/>
      <c r="C8" s="149"/>
      <c r="D8" s="299"/>
      <c r="E8" s="299"/>
      <c r="F8" s="299"/>
      <c r="G8" s="299"/>
      <c r="H8" s="299"/>
      <c r="I8" s="28"/>
      <c r="J8" s="179"/>
    </row>
    <row r="9" spans="1:15" s="237" customFormat="1" ht="18" x14ac:dyDescent="0.35">
      <c r="A9" s="235"/>
      <c r="B9" s="235"/>
      <c r="C9" s="238"/>
      <c r="D9" s="238"/>
      <c r="E9" s="238"/>
      <c r="F9" s="238"/>
      <c r="G9" s="238"/>
      <c r="H9" s="238"/>
      <c r="I9" s="28"/>
      <c r="J9" s="179"/>
    </row>
    <row r="10" spans="1:15" s="237" customFormat="1" ht="18" x14ac:dyDescent="0.35">
      <c r="A10" s="29"/>
      <c r="B10" s="20"/>
      <c r="C10" s="238"/>
      <c r="D10" s="19"/>
      <c r="E10" s="238"/>
      <c r="F10" s="179"/>
      <c r="G10" s="179"/>
      <c r="H10" s="179"/>
      <c r="I10" s="55" t="s">
        <v>1</v>
      </c>
      <c r="J10" s="179"/>
    </row>
    <row r="11" spans="1:15" ht="18" customHeight="1" thickBot="1" x14ac:dyDescent="0.35">
      <c r="A11" s="107"/>
      <c r="B11" s="108" t="s">
        <v>0</v>
      </c>
      <c r="C11" s="10">
        <f t="shared" ref="C11:H11" si="0">SUM(C6:C10)</f>
        <v>0</v>
      </c>
      <c r="D11" s="10">
        <f t="shared" si="0"/>
        <v>0</v>
      </c>
      <c r="E11" s="10">
        <f t="shared" si="0"/>
        <v>0</v>
      </c>
      <c r="F11" s="10">
        <f t="shared" si="0"/>
        <v>0</v>
      </c>
      <c r="G11" s="10">
        <f t="shared" si="0"/>
        <v>163000</v>
      </c>
      <c r="H11" s="10">
        <f t="shared" si="0"/>
        <v>0</v>
      </c>
      <c r="I11" s="10">
        <f>SUM(C11:H11)</f>
        <v>163000</v>
      </c>
      <c r="J11" s="10">
        <f>SUM(J6:J10)</f>
        <v>0</v>
      </c>
    </row>
    <row r="12" spans="1:15" ht="14.4" thickTop="1" x14ac:dyDescent="0.3"/>
    <row r="13" spans="1:15" x14ac:dyDescent="0.3">
      <c r="B13" s="324" t="s">
        <v>411</v>
      </c>
      <c r="C13" s="179">
        <v>0</v>
      </c>
      <c r="L13" s="239"/>
      <c r="M13" s="239"/>
      <c r="N13" s="239"/>
      <c r="O13" s="239"/>
    </row>
    <row r="14" spans="1:15" x14ac:dyDescent="0.3">
      <c r="L14" s="239"/>
      <c r="M14" s="239"/>
      <c r="N14" s="239"/>
      <c r="O14" s="239"/>
    </row>
    <row r="15" spans="1:15" x14ac:dyDescent="0.3">
      <c r="B15" s="176" t="s">
        <v>160</v>
      </c>
      <c r="C15" s="239">
        <v>0</v>
      </c>
      <c r="D15" s="239">
        <f>C21</f>
        <v>0</v>
      </c>
      <c r="E15" s="239">
        <f t="shared" ref="E15:H15" si="1">D21</f>
        <v>0</v>
      </c>
      <c r="F15" s="239">
        <f t="shared" si="1"/>
        <v>0</v>
      </c>
      <c r="G15" s="239">
        <f t="shared" si="1"/>
        <v>0</v>
      </c>
      <c r="H15" s="239">
        <f t="shared" si="1"/>
        <v>0</v>
      </c>
      <c r="L15" s="239"/>
      <c r="M15" s="239"/>
      <c r="N15" s="239"/>
      <c r="O15" s="239"/>
    </row>
    <row r="16" spans="1:15" x14ac:dyDescent="0.3">
      <c r="B16" s="65" t="s">
        <v>281</v>
      </c>
      <c r="C16" s="239"/>
      <c r="D16" s="239"/>
      <c r="E16" s="239"/>
      <c r="F16" s="239"/>
      <c r="G16" s="239"/>
      <c r="H16" s="239"/>
      <c r="L16" s="239"/>
      <c r="M16" s="239"/>
      <c r="N16" s="239"/>
      <c r="O16" s="239"/>
    </row>
    <row r="17" spans="2:15" s="251" customFormat="1" x14ac:dyDescent="0.3">
      <c r="B17" s="65" t="s">
        <v>274</v>
      </c>
      <c r="C17" s="259">
        <v>0</v>
      </c>
      <c r="D17" s="259">
        <v>0</v>
      </c>
      <c r="E17" s="259">
        <v>0</v>
      </c>
      <c r="F17" s="259">
        <v>0</v>
      </c>
      <c r="G17" s="259">
        <v>0</v>
      </c>
      <c r="H17" s="259">
        <v>0</v>
      </c>
      <c r="L17" s="259"/>
      <c r="M17" s="259"/>
      <c r="N17" s="259"/>
      <c r="O17" s="259"/>
    </row>
    <row r="18" spans="2:15" s="251" customFormat="1" x14ac:dyDescent="0.3">
      <c r="B18" s="65" t="s">
        <v>84</v>
      </c>
      <c r="C18" s="259">
        <v>0</v>
      </c>
      <c r="D18" s="324">
        <v>0</v>
      </c>
      <c r="E18" s="324">
        <v>0</v>
      </c>
      <c r="F18" s="324">
        <v>0</v>
      </c>
      <c r="G18" s="324">
        <v>0</v>
      </c>
      <c r="H18" s="324">
        <v>0</v>
      </c>
      <c r="L18" s="259"/>
      <c r="M18" s="259"/>
      <c r="N18" s="259"/>
      <c r="O18" s="259"/>
    </row>
    <row r="19" spans="2:15" s="251" customFormat="1" x14ac:dyDescent="0.3">
      <c r="B19" s="65" t="s">
        <v>275</v>
      </c>
      <c r="C19" s="259">
        <v>0</v>
      </c>
      <c r="D19" s="324">
        <v>0</v>
      </c>
      <c r="E19" s="259">
        <v>0</v>
      </c>
      <c r="F19" s="259">
        <v>0</v>
      </c>
      <c r="G19" s="259">
        <v>163000</v>
      </c>
      <c r="H19" s="259">
        <v>0</v>
      </c>
      <c r="L19" s="259"/>
      <c r="M19" s="259"/>
      <c r="N19" s="259"/>
      <c r="O19" s="259"/>
    </row>
    <row r="20" spans="2:15" ht="15.6" x14ac:dyDescent="0.45">
      <c r="B20" s="65" t="s">
        <v>36</v>
      </c>
      <c r="C20" s="193">
        <f t="shared" ref="C20:H20" si="2">-C11</f>
        <v>0</v>
      </c>
      <c r="D20" s="193">
        <f>-D11</f>
        <v>0</v>
      </c>
      <c r="E20" s="193">
        <f t="shared" si="2"/>
        <v>0</v>
      </c>
      <c r="F20" s="193">
        <f t="shared" si="2"/>
        <v>0</v>
      </c>
      <c r="G20" s="193">
        <f t="shared" si="2"/>
        <v>-163000</v>
      </c>
      <c r="H20" s="193">
        <f t="shared" si="2"/>
        <v>0</v>
      </c>
      <c r="N20" s="239"/>
      <c r="O20" s="239"/>
    </row>
    <row r="21" spans="2:15" ht="15.6" x14ac:dyDescent="0.45">
      <c r="B21" s="79" t="s">
        <v>37</v>
      </c>
      <c r="C21" s="63">
        <f>SUM(C15:C20)</f>
        <v>0</v>
      </c>
      <c r="D21" s="63">
        <f t="shared" ref="D21:H21" si="3">SUM(D15:D20)</f>
        <v>0</v>
      </c>
      <c r="E21" s="63">
        <f t="shared" si="3"/>
        <v>0</v>
      </c>
      <c r="F21" s="63">
        <f t="shared" si="3"/>
        <v>0</v>
      </c>
      <c r="G21" s="63">
        <f t="shared" si="3"/>
        <v>0</v>
      </c>
      <c r="H21" s="63">
        <f t="shared" si="3"/>
        <v>0</v>
      </c>
      <c r="N21" s="239"/>
      <c r="O21" s="239"/>
    </row>
  </sheetData>
  <mergeCells count="1">
    <mergeCell ref="I4:J4"/>
  </mergeCells>
  <pageMargins left="0.7" right="0.7" top="0.75" bottom="0.75" header="0.3" footer="0.3"/>
  <pageSetup orientation="landscape" r:id="rId1"/>
  <headerFooter>
    <oddHeader>&amp;C&amp;"-,Bold"&amp;12CIP DEPARTMENT INFORMATION REQUEST FORM
DEPARTMENT:  RAIL TRAILS</oddHeader>
    <oddFooter xml:space="preserve">&amp;L&amp;A&amp;RPage &amp;P of &amp;N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view="pageBreakPreview" topLeftCell="A4" zoomScaleNormal="100" zoomScaleSheetLayoutView="100" workbookViewId="0">
      <selection activeCell="N11" sqref="N11"/>
    </sheetView>
  </sheetViews>
  <sheetFormatPr defaultColWidth="9" defaultRowHeight="13.8" x14ac:dyDescent="0.3"/>
  <cols>
    <col min="1" max="1" width="25" customWidth="1"/>
    <col min="2" max="2" width="25.5546875" customWidth="1"/>
    <col min="3" max="3" width="11" bestFit="1" customWidth="1"/>
    <col min="7" max="7" width="10" bestFit="1" customWidth="1"/>
    <col min="9" max="9" width="20.33203125" customWidth="1"/>
    <col min="10" max="10" width="12.44140625" customWidth="1"/>
  </cols>
  <sheetData>
    <row r="1" spans="1:11" ht="20.25" customHeight="1" x14ac:dyDescent="0.3">
      <c r="A1" s="320" t="s">
        <v>716</v>
      </c>
      <c r="I1" s="247"/>
      <c r="J1" s="248"/>
    </row>
    <row r="2" spans="1:11" x14ac:dyDescent="0.3">
      <c r="A2" s="320" t="s">
        <v>267</v>
      </c>
    </row>
    <row r="3" spans="1:11" x14ac:dyDescent="0.3">
      <c r="A3" s="320" t="s">
        <v>268</v>
      </c>
    </row>
    <row r="4" spans="1:11" s="24" customFormat="1" x14ac:dyDescent="0.3">
      <c r="A4" s="327" t="s">
        <v>269</v>
      </c>
      <c r="I4" s="623" t="s">
        <v>412</v>
      </c>
      <c r="J4" s="624"/>
    </row>
    <row r="5" spans="1:11" s="24" customFormat="1" ht="14.4" thickBot="1" x14ac:dyDescent="0.35">
      <c r="A5" s="21" t="s">
        <v>3</v>
      </c>
      <c r="B5" s="21" t="s">
        <v>4</v>
      </c>
      <c r="C5" s="22">
        <v>2021</v>
      </c>
      <c r="D5" s="22">
        <f>C5+1</f>
        <v>2022</v>
      </c>
      <c r="E5" s="22">
        <f>D5+1</f>
        <v>2023</v>
      </c>
      <c r="F5" s="22">
        <f>E5+1</f>
        <v>2024</v>
      </c>
      <c r="G5" s="22">
        <f>F5+1</f>
        <v>2025</v>
      </c>
      <c r="H5" s="22">
        <f>G5+1</f>
        <v>2026</v>
      </c>
      <c r="I5" s="479" t="s">
        <v>3</v>
      </c>
      <c r="J5" s="21" t="s">
        <v>2</v>
      </c>
    </row>
    <row r="6" spans="1:11" ht="52.5" customHeight="1" x14ac:dyDescent="0.3">
      <c r="A6" s="273" t="s">
        <v>301</v>
      </c>
      <c r="B6" s="168" t="s">
        <v>391</v>
      </c>
      <c r="C6" s="315"/>
      <c r="D6" s="315">
        <v>25000</v>
      </c>
      <c r="E6" s="315"/>
      <c r="F6" s="315"/>
      <c r="G6" s="315"/>
      <c r="H6" s="476"/>
      <c r="I6" s="670" t="s">
        <v>520</v>
      </c>
      <c r="J6" s="477"/>
    </row>
    <row r="7" spans="1:11" s="176" customFormat="1" ht="55.8" thickBot="1" x14ac:dyDescent="0.35">
      <c r="A7" s="273" t="s">
        <v>181</v>
      </c>
      <c r="B7" s="273" t="s">
        <v>343</v>
      </c>
      <c r="C7" s="315">
        <v>100000</v>
      </c>
      <c r="D7" s="315"/>
      <c r="E7" s="315"/>
      <c r="F7" s="315"/>
      <c r="G7" s="315"/>
      <c r="H7" s="476"/>
      <c r="I7" s="671"/>
      <c r="J7" s="478"/>
    </row>
    <row r="8" spans="1:11" s="277" customFormat="1" ht="55.2" x14ac:dyDescent="0.3">
      <c r="A8" s="273" t="s">
        <v>302</v>
      </c>
      <c r="B8" s="273" t="s">
        <v>303</v>
      </c>
      <c r="C8" s="291"/>
      <c r="D8" s="315">
        <v>10000</v>
      </c>
      <c r="E8" s="315"/>
      <c r="F8" s="315"/>
      <c r="G8" s="315"/>
      <c r="H8" s="315"/>
      <c r="I8" s="291"/>
      <c r="J8" s="315">
        <v>30000</v>
      </c>
      <c r="K8" s="315"/>
    </row>
    <row r="9" spans="1:11" s="102" customFormat="1" ht="41.4" x14ac:dyDescent="0.3">
      <c r="A9" s="273" t="s">
        <v>182</v>
      </c>
      <c r="B9" s="273" t="s">
        <v>183</v>
      </c>
      <c r="C9" s="315"/>
      <c r="D9" s="315"/>
      <c r="E9" s="315">
        <v>22000</v>
      </c>
      <c r="F9" s="315"/>
      <c r="G9" s="315"/>
      <c r="H9" s="315"/>
      <c r="I9" s="292"/>
      <c r="J9" s="292"/>
    </row>
    <row r="10" spans="1:11" s="319" customFormat="1" ht="19.5" customHeight="1" x14ac:dyDescent="0.3">
      <c r="A10" s="273" t="s">
        <v>342</v>
      </c>
      <c r="B10" s="273"/>
      <c r="C10" s="291"/>
      <c r="D10" s="291"/>
      <c r="E10" s="315"/>
      <c r="F10" s="315">
        <v>50000</v>
      </c>
      <c r="G10" s="315"/>
      <c r="H10" s="315"/>
      <c r="I10" s="292"/>
      <c r="J10" s="292"/>
    </row>
    <row r="11" spans="1:11" s="106" customFormat="1" ht="41.4" x14ac:dyDescent="0.35">
      <c r="A11" s="273" t="s">
        <v>127</v>
      </c>
      <c r="B11" s="273" t="s">
        <v>185</v>
      </c>
      <c r="C11" s="315"/>
      <c r="D11" s="315"/>
      <c r="E11" s="315"/>
      <c r="F11" s="315"/>
      <c r="G11" s="315"/>
      <c r="I11" s="292"/>
      <c r="J11" s="315">
        <v>10000</v>
      </c>
    </row>
    <row r="12" spans="1:11" s="106" customFormat="1" ht="41.4" x14ac:dyDescent="0.35">
      <c r="A12" s="273" t="s">
        <v>20</v>
      </c>
      <c r="B12" s="273" t="s">
        <v>184</v>
      </c>
      <c r="C12" s="315"/>
      <c r="D12" s="315"/>
      <c r="E12" s="315"/>
      <c r="F12" s="315"/>
      <c r="G12" s="315">
        <v>20000</v>
      </c>
      <c r="H12" s="315"/>
      <c r="I12" s="292"/>
      <c r="J12" s="292"/>
    </row>
    <row r="13" spans="1:11" s="13" customFormat="1" ht="27.6" x14ac:dyDescent="0.35">
      <c r="A13" s="273" t="s">
        <v>392</v>
      </c>
      <c r="B13" s="273" t="s">
        <v>393</v>
      </c>
      <c r="C13" s="315"/>
      <c r="D13" s="315"/>
      <c r="E13" s="315"/>
      <c r="F13" s="315"/>
      <c r="G13" s="315"/>
      <c r="H13" s="315"/>
      <c r="I13" s="292"/>
      <c r="J13" s="315">
        <v>37000</v>
      </c>
    </row>
    <row r="14" spans="1:11" s="322" customFormat="1" ht="18" x14ac:dyDescent="0.35">
      <c r="A14" s="385" t="s">
        <v>396</v>
      </c>
      <c r="B14" s="384"/>
      <c r="C14" s="315"/>
      <c r="D14" s="315"/>
      <c r="E14" s="315"/>
      <c r="F14" s="315"/>
      <c r="G14" s="315"/>
      <c r="H14" s="315"/>
      <c r="I14" s="292"/>
      <c r="J14" s="557" t="s">
        <v>297</v>
      </c>
    </row>
    <row r="15" spans="1:11" s="13" customFormat="1" ht="18" x14ac:dyDescent="0.35">
      <c r="A15" s="32"/>
      <c r="B15" s="16"/>
      <c r="C15" s="292"/>
      <c r="D15" s="292"/>
      <c r="E15" s="292"/>
      <c r="F15" s="292"/>
      <c r="G15" s="292"/>
      <c r="H15" s="292"/>
      <c r="I15" s="347" t="s">
        <v>9</v>
      </c>
      <c r="J15" s="292"/>
    </row>
    <row r="16" spans="1:11" ht="28.5" customHeight="1" thickBot="1" x14ac:dyDescent="0.4">
      <c r="A16" s="12"/>
      <c r="B16" s="11" t="s">
        <v>0</v>
      </c>
      <c r="C16" s="10">
        <f t="shared" ref="C16:H16" si="0">SUM(C6:C15)</f>
        <v>100000</v>
      </c>
      <c r="D16" s="10">
        <f t="shared" si="0"/>
        <v>35000</v>
      </c>
      <c r="E16" s="10">
        <f t="shared" si="0"/>
        <v>22000</v>
      </c>
      <c r="F16" s="10">
        <f t="shared" si="0"/>
        <v>50000</v>
      </c>
      <c r="G16" s="10">
        <f t="shared" si="0"/>
        <v>20000</v>
      </c>
      <c r="H16" s="10">
        <f t="shared" si="0"/>
        <v>0</v>
      </c>
      <c r="I16" s="10">
        <f>SUM(C16:H16)</f>
        <v>227000</v>
      </c>
      <c r="J16" s="10">
        <f>SUM(J6:J15)</f>
        <v>77000</v>
      </c>
      <c r="K16" s="13"/>
    </row>
    <row r="17" spans="2:10" ht="14.4" thickTop="1" x14ac:dyDescent="0.3">
      <c r="C17" s="4"/>
      <c r="D17" s="4"/>
      <c r="E17" s="4"/>
      <c r="F17" s="4"/>
      <c r="G17" s="4"/>
      <c r="H17" s="4"/>
      <c r="I17" s="6"/>
      <c r="J17" s="6"/>
    </row>
    <row r="18" spans="2:10" x14ac:dyDescent="0.3">
      <c r="B18" s="324" t="s">
        <v>411</v>
      </c>
      <c r="C18" s="17">
        <v>10000</v>
      </c>
      <c r="D18" s="4"/>
      <c r="E18" s="4"/>
      <c r="G18" s="4"/>
      <c r="H18" s="4"/>
      <c r="I18" s="6"/>
      <c r="J18" s="6"/>
    </row>
    <row r="19" spans="2:10" x14ac:dyDescent="0.3">
      <c r="I19" s="6"/>
      <c r="J19" s="4"/>
    </row>
    <row r="20" spans="2:10" x14ac:dyDescent="0.3">
      <c r="B20" s="109" t="s">
        <v>665</v>
      </c>
      <c r="C20" s="137">
        <v>74000</v>
      </c>
      <c r="D20" s="4">
        <f>C25</f>
        <v>9000</v>
      </c>
      <c r="E20" s="4">
        <f>D25</f>
        <v>4000</v>
      </c>
      <c r="F20" s="4">
        <f>E25</f>
        <v>2000</v>
      </c>
      <c r="G20" s="4">
        <f>F25</f>
        <v>2000</v>
      </c>
      <c r="H20" s="4">
        <f>G25</f>
        <v>2000</v>
      </c>
      <c r="J20" s="4"/>
    </row>
    <row r="21" spans="2:10" s="277" customFormat="1" x14ac:dyDescent="0.3">
      <c r="B21" s="65" t="s">
        <v>281</v>
      </c>
      <c r="C21" s="46">
        <v>10000</v>
      </c>
      <c r="D21" s="46">
        <f>C21</f>
        <v>10000</v>
      </c>
      <c r="E21" s="46">
        <f t="shared" ref="E21:H21" si="1">D21</f>
        <v>10000</v>
      </c>
      <c r="F21" s="46">
        <f t="shared" si="1"/>
        <v>10000</v>
      </c>
      <c r="G21" s="46">
        <f t="shared" si="1"/>
        <v>10000</v>
      </c>
      <c r="H21" s="46">
        <f t="shared" si="1"/>
        <v>10000</v>
      </c>
      <c r="I21" s="664" t="s">
        <v>749</v>
      </c>
      <c r="J21" s="665"/>
    </row>
    <row r="22" spans="2:10" s="102" customFormat="1" x14ac:dyDescent="0.3">
      <c r="B22" s="82" t="s">
        <v>153</v>
      </c>
      <c r="C22" s="137">
        <v>0</v>
      </c>
      <c r="D22" s="137">
        <v>0</v>
      </c>
      <c r="E22" s="137">
        <v>0</v>
      </c>
      <c r="F22" s="137">
        <f>0.5*F9</f>
        <v>0</v>
      </c>
      <c r="G22" s="137">
        <v>0</v>
      </c>
      <c r="H22" s="137">
        <v>0</v>
      </c>
      <c r="I22" s="666"/>
      <c r="J22" s="667"/>
    </row>
    <row r="23" spans="2:10" s="176" customFormat="1" x14ac:dyDescent="0.3">
      <c r="B23" s="338" t="s">
        <v>339</v>
      </c>
      <c r="C23" s="339">
        <v>25000</v>
      </c>
      <c r="D23" s="339">
        <v>20000</v>
      </c>
      <c r="E23" s="339">
        <v>10000</v>
      </c>
      <c r="F23" s="339">
        <v>40000</v>
      </c>
      <c r="G23" s="339">
        <v>10000</v>
      </c>
      <c r="H23" s="339">
        <v>0</v>
      </c>
      <c r="I23" s="666"/>
      <c r="J23" s="667"/>
    </row>
    <row r="24" spans="2:10" ht="15.6" x14ac:dyDescent="0.45">
      <c r="B24" s="82" t="s">
        <v>15</v>
      </c>
      <c r="C24" s="66">
        <f t="shared" ref="C24:H24" si="2">-C16</f>
        <v>-100000</v>
      </c>
      <c r="D24" s="66">
        <f t="shared" si="2"/>
        <v>-35000</v>
      </c>
      <c r="E24" s="66">
        <f t="shared" si="2"/>
        <v>-22000</v>
      </c>
      <c r="F24" s="66">
        <f t="shared" si="2"/>
        <v>-50000</v>
      </c>
      <c r="G24" s="66">
        <f t="shared" si="2"/>
        <v>-20000</v>
      </c>
      <c r="H24" s="66">
        <f t="shared" si="2"/>
        <v>0</v>
      </c>
      <c r="I24" s="668"/>
      <c r="J24" s="669"/>
    </row>
    <row r="25" spans="2:10" ht="15.6" x14ac:dyDescent="0.45">
      <c r="B25" s="83" t="s">
        <v>14</v>
      </c>
      <c r="C25" s="67">
        <f t="shared" ref="C25:H25" si="3">SUM(C20:C24)</f>
        <v>9000</v>
      </c>
      <c r="D25" s="67">
        <f t="shared" si="3"/>
        <v>4000</v>
      </c>
      <c r="E25" s="67">
        <f t="shared" si="3"/>
        <v>2000</v>
      </c>
      <c r="F25" s="67">
        <f t="shared" si="3"/>
        <v>2000</v>
      </c>
      <c r="G25" s="67">
        <f t="shared" si="3"/>
        <v>2000</v>
      </c>
      <c r="H25" s="67">
        <f t="shared" si="3"/>
        <v>12000</v>
      </c>
      <c r="I25" s="6"/>
      <c r="J25" s="180"/>
    </row>
    <row r="26" spans="2:10" x14ac:dyDescent="0.3">
      <c r="C26" s="4"/>
      <c r="D26" s="4"/>
      <c r="E26" s="4"/>
      <c r="F26" s="4"/>
      <c r="G26" s="4"/>
      <c r="H26" s="4"/>
      <c r="I26" s="4"/>
      <c r="J26" s="4"/>
    </row>
    <row r="27" spans="2:10" x14ac:dyDescent="0.3">
      <c r="I27" s="4"/>
      <c r="J27" s="4"/>
    </row>
    <row r="28" spans="2:10" x14ac:dyDescent="0.3">
      <c r="I28" s="4"/>
      <c r="J28" s="4"/>
    </row>
  </sheetData>
  <mergeCells count="3">
    <mergeCell ref="I4:J4"/>
    <mergeCell ref="I21:J24"/>
    <mergeCell ref="I6:I7"/>
  </mergeCells>
  <pageMargins left="0.7" right="0.7" top="0.75" bottom="0.75" header="0.3" footer="0.3"/>
  <pageSetup scale="82" orientation="landscape" r:id="rId1"/>
  <headerFooter>
    <oddHeader>&amp;C&amp;"-,Bold"&amp;12CIP DEPARTMENT INFORMATION REQUEST FORM
DEPARTMENT:  RECREATION FACILITIES IMPROVEMENTS</oddHeader>
    <oddFooter>&amp;L&amp;A&amp;RPage &amp;P of &amp;N</oddFooter>
  </headerFooter>
  <rowBreaks count="1" manualBreakCount="1">
    <brk id="26" max="9"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1"/>
  <sheetViews>
    <sheetView view="pageBreakPreview" topLeftCell="A16" zoomScaleNormal="100" zoomScaleSheetLayoutView="100" workbookViewId="0">
      <selection activeCell="C26" sqref="C26"/>
    </sheetView>
  </sheetViews>
  <sheetFormatPr defaultColWidth="9" defaultRowHeight="13.8" x14ac:dyDescent="0.3"/>
  <cols>
    <col min="1" max="1" width="26.109375" style="176" customWidth="1"/>
    <col min="2" max="2" width="25" style="176" customWidth="1"/>
    <col min="3" max="3" width="11" style="176" bestFit="1" customWidth="1"/>
    <col min="4" max="4" width="10" style="176" customWidth="1"/>
    <col min="5" max="5" width="9.88671875" style="176" customWidth="1"/>
    <col min="6" max="6" width="10.5546875" style="176" customWidth="1"/>
    <col min="7" max="7" width="10" style="176" customWidth="1"/>
    <col min="8" max="8" width="10.88671875" style="176" customWidth="1"/>
    <col min="9" max="9" width="17.109375" style="176" customWidth="1"/>
    <col min="10" max="10" width="13.5546875" style="176" customWidth="1"/>
    <col min="11" max="11" width="4" style="176" customWidth="1"/>
    <col min="12" max="13" width="9" style="176"/>
    <col min="14" max="14" width="41.44140625" style="176" bestFit="1" customWidth="1"/>
    <col min="15" max="15" width="16.5546875" style="176" bestFit="1" customWidth="1"/>
    <col min="16" max="16" width="23" style="176" bestFit="1" customWidth="1"/>
    <col min="17" max="17" width="15.109375" style="176" bestFit="1" customWidth="1"/>
    <col min="18" max="18" width="17.109375" style="176" customWidth="1"/>
    <col min="19" max="19" width="18.44140625" style="176" customWidth="1"/>
    <col min="20" max="16384" width="9" style="176"/>
  </cols>
  <sheetData>
    <row r="1" spans="1:17" ht="20.25" customHeight="1" x14ac:dyDescent="0.3">
      <c r="A1" s="317" t="s">
        <v>716</v>
      </c>
      <c r="I1" s="247"/>
      <c r="J1" s="248"/>
    </row>
    <row r="2" spans="1:17" x14ac:dyDescent="0.3">
      <c r="A2" s="317" t="s">
        <v>267</v>
      </c>
    </row>
    <row r="3" spans="1:17" x14ac:dyDescent="0.3">
      <c r="A3" s="317" t="s">
        <v>268</v>
      </c>
    </row>
    <row r="4" spans="1:17" s="24" customFormat="1" x14ac:dyDescent="0.3">
      <c r="A4" s="318" t="s">
        <v>269</v>
      </c>
      <c r="I4" s="623" t="s">
        <v>412</v>
      </c>
      <c r="J4" s="624"/>
    </row>
    <row r="5" spans="1:17" s="24" customFormat="1" x14ac:dyDescent="0.3">
      <c r="A5" s="21" t="s">
        <v>3</v>
      </c>
      <c r="B5" s="21" t="s">
        <v>8</v>
      </c>
      <c r="C5" s="22">
        <v>2021</v>
      </c>
      <c r="D5" s="22">
        <f>C5+1</f>
        <v>2022</v>
      </c>
      <c r="E5" s="22">
        <f>D5+1</f>
        <v>2023</v>
      </c>
      <c r="F5" s="22">
        <f>E5+1</f>
        <v>2024</v>
      </c>
      <c r="G5" s="22">
        <f>F5+1</f>
        <v>2025</v>
      </c>
      <c r="H5" s="22">
        <f>G5+1</f>
        <v>2026</v>
      </c>
      <c r="I5" s="21" t="s">
        <v>3</v>
      </c>
      <c r="J5" s="21" t="s">
        <v>2</v>
      </c>
      <c r="L5" s="321"/>
      <c r="M5" s="321"/>
      <c r="N5" s="321"/>
      <c r="O5" s="321"/>
      <c r="P5" s="321"/>
      <c r="Q5" s="321"/>
    </row>
    <row r="6" spans="1:17" s="178" customFormat="1" ht="55.5" customHeight="1" x14ac:dyDescent="0.35">
      <c r="A6" s="273" t="s">
        <v>598</v>
      </c>
      <c r="B6" s="273" t="s">
        <v>599</v>
      </c>
      <c r="C6" s="514">
        <v>500000</v>
      </c>
      <c r="D6" s="514"/>
      <c r="E6" s="514"/>
      <c r="F6" s="514"/>
      <c r="G6" s="514"/>
      <c r="H6" s="514"/>
      <c r="I6" s="273"/>
      <c r="J6" s="514"/>
      <c r="L6" s="326"/>
      <c r="M6" s="326"/>
      <c r="N6" s="326"/>
      <c r="O6" s="329"/>
      <c r="P6" s="326"/>
      <c r="Q6" s="326"/>
    </row>
    <row r="7" spans="1:17" s="178" customFormat="1" ht="23.25" customHeight="1" x14ac:dyDescent="0.35">
      <c r="A7" s="273" t="s">
        <v>214</v>
      </c>
      <c r="B7" s="273" t="s">
        <v>239</v>
      </c>
      <c r="C7" s="514"/>
      <c r="D7" s="514"/>
      <c r="E7" s="199"/>
      <c r="F7" s="514"/>
      <c r="G7" s="514"/>
      <c r="H7" s="514"/>
      <c r="I7" s="273" t="s">
        <v>600</v>
      </c>
      <c r="J7" s="514">
        <v>95000</v>
      </c>
      <c r="L7" s="326"/>
      <c r="M7" s="326"/>
      <c r="N7" s="326"/>
      <c r="O7" s="329"/>
      <c r="P7" s="326"/>
      <c r="Q7" s="326"/>
    </row>
    <row r="8" spans="1:17" s="178" customFormat="1" ht="30" customHeight="1" x14ac:dyDescent="0.35">
      <c r="A8" s="273" t="s">
        <v>215</v>
      </c>
      <c r="B8" s="273" t="s">
        <v>304</v>
      </c>
      <c r="C8" s="514"/>
      <c r="D8" s="514"/>
      <c r="E8" s="199"/>
      <c r="F8" s="514"/>
      <c r="G8" s="514"/>
      <c r="H8" s="514"/>
      <c r="I8" s="273" t="s">
        <v>601</v>
      </c>
      <c r="J8" s="514">
        <v>22099</v>
      </c>
      <c r="L8" s="326"/>
      <c r="M8" s="326"/>
      <c r="N8" s="326"/>
      <c r="O8" s="329"/>
      <c r="P8" s="326"/>
      <c r="Q8" s="329"/>
    </row>
    <row r="9" spans="1:17" s="178" customFormat="1" ht="45" customHeight="1" x14ac:dyDescent="0.35">
      <c r="A9" s="273" t="s">
        <v>216</v>
      </c>
      <c r="B9" s="273" t="s">
        <v>305</v>
      </c>
      <c r="C9" s="199"/>
      <c r="D9" s="514"/>
      <c r="E9" s="514"/>
      <c r="F9" s="514"/>
      <c r="G9" s="514"/>
      <c r="H9" s="514">
        <v>126940</v>
      </c>
      <c r="I9" s="273" t="s">
        <v>602</v>
      </c>
      <c r="J9" s="514">
        <v>140000</v>
      </c>
      <c r="L9" s="326"/>
      <c r="M9" s="326"/>
      <c r="N9" s="326"/>
      <c r="O9" s="329"/>
      <c r="P9" s="329"/>
      <c r="Q9" s="326"/>
    </row>
    <row r="10" spans="1:17" s="178" customFormat="1" ht="27.75" customHeight="1" x14ac:dyDescent="0.35">
      <c r="A10" s="273" t="s">
        <v>306</v>
      </c>
      <c r="B10" s="273" t="s">
        <v>307</v>
      </c>
      <c r="C10" s="514"/>
      <c r="D10" s="199"/>
      <c r="E10" s="514"/>
      <c r="F10" s="514"/>
      <c r="G10" s="514"/>
      <c r="H10" s="514"/>
      <c r="I10" s="273" t="s">
        <v>306</v>
      </c>
      <c r="J10" s="514">
        <v>79300</v>
      </c>
      <c r="L10" s="326"/>
      <c r="M10" s="326"/>
      <c r="N10" s="326"/>
      <c r="O10" s="326"/>
      <c r="P10" s="326"/>
      <c r="Q10" s="326"/>
    </row>
    <row r="11" spans="1:17" s="178" customFormat="1" ht="44.25" customHeight="1" x14ac:dyDescent="0.35">
      <c r="A11" s="273" t="s">
        <v>220</v>
      </c>
      <c r="B11" s="273" t="s">
        <v>308</v>
      </c>
      <c r="C11" s="514"/>
      <c r="D11" s="199"/>
      <c r="E11" s="514">
        <v>22000</v>
      </c>
      <c r="F11" s="514"/>
      <c r="G11" s="514"/>
      <c r="H11" s="514"/>
      <c r="I11" s="273"/>
      <c r="J11" s="514"/>
      <c r="L11" s="326"/>
      <c r="M11" s="326"/>
      <c r="N11" s="326"/>
      <c r="O11" s="329"/>
      <c r="P11" s="326"/>
      <c r="Q11" s="326"/>
    </row>
    <row r="12" spans="1:17" s="178" customFormat="1" ht="43.5" customHeight="1" x14ac:dyDescent="0.35">
      <c r="A12" s="273" t="s">
        <v>217</v>
      </c>
      <c r="B12" s="273" t="s">
        <v>309</v>
      </c>
      <c r="C12" s="514"/>
      <c r="D12" s="199"/>
      <c r="E12" s="514"/>
      <c r="F12" s="514">
        <v>39290</v>
      </c>
      <c r="G12" s="514"/>
      <c r="H12" s="514"/>
      <c r="I12" s="273"/>
      <c r="J12" s="514"/>
      <c r="L12" s="326"/>
      <c r="M12" s="326"/>
      <c r="N12" s="326"/>
      <c r="O12" s="329"/>
      <c r="P12" s="326"/>
      <c r="Q12" s="326"/>
    </row>
    <row r="13" spans="1:17" s="178" customFormat="1" ht="27.75" customHeight="1" x14ac:dyDescent="0.35">
      <c r="A13" s="273" t="s">
        <v>221</v>
      </c>
      <c r="B13" s="273" t="s">
        <v>310</v>
      </c>
      <c r="C13" s="514"/>
      <c r="D13" s="514"/>
      <c r="E13" s="514"/>
      <c r="F13" s="514"/>
      <c r="G13" s="514"/>
      <c r="H13" s="514"/>
      <c r="I13" s="273" t="s">
        <v>221</v>
      </c>
      <c r="J13" s="514">
        <v>95000</v>
      </c>
      <c r="L13" s="326"/>
      <c r="M13" s="326"/>
      <c r="N13" s="326"/>
      <c r="O13" s="329"/>
      <c r="P13" s="326"/>
      <c r="Q13" s="329"/>
    </row>
    <row r="14" spans="1:17" s="178" customFormat="1" ht="41.4" x14ac:dyDescent="0.35">
      <c r="A14" s="273" t="s">
        <v>311</v>
      </c>
      <c r="B14" s="273" t="s">
        <v>312</v>
      </c>
      <c r="C14" s="514"/>
      <c r="D14" s="514">
        <v>37500</v>
      </c>
      <c r="E14" s="514"/>
      <c r="F14" s="514"/>
      <c r="G14" s="514"/>
      <c r="H14" s="514"/>
      <c r="I14" s="273"/>
      <c r="J14" s="514"/>
      <c r="L14" s="326"/>
      <c r="M14" s="326"/>
      <c r="N14" s="326"/>
      <c r="O14" s="329"/>
      <c r="P14" s="329"/>
      <c r="Q14" s="326"/>
    </row>
    <row r="15" spans="1:17" s="178" customFormat="1" ht="40.5" customHeight="1" x14ac:dyDescent="0.35">
      <c r="A15" s="273" t="s">
        <v>313</v>
      </c>
      <c r="B15" s="273" t="s">
        <v>314</v>
      </c>
      <c r="C15" s="514"/>
      <c r="D15" s="514"/>
      <c r="E15" s="514"/>
      <c r="F15" s="514"/>
      <c r="G15" s="514"/>
      <c r="H15" s="514">
        <v>37800</v>
      </c>
      <c r="I15" s="273"/>
      <c r="J15" s="514"/>
      <c r="L15" s="326"/>
      <c r="M15" s="326"/>
      <c r="N15" s="326"/>
      <c r="O15" s="326"/>
      <c r="P15" s="326"/>
      <c r="Q15" s="326"/>
    </row>
    <row r="16" spans="1:17" s="322" customFormat="1" ht="40.5" customHeight="1" x14ac:dyDescent="0.35">
      <c r="A16" s="273" t="s">
        <v>315</v>
      </c>
      <c r="B16" s="273" t="s">
        <v>316</v>
      </c>
      <c r="C16" s="514"/>
      <c r="D16" s="514"/>
      <c r="E16" s="514"/>
      <c r="F16" s="514"/>
      <c r="G16" s="514">
        <v>70000</v>
      </c>
      <c r="H16" s="514"/>
      <c r="I16" s="273" t="s">
        <v>317</v>
      </c>
      <c r="J16" s="514">
        <v>60000</v>
      </c>
      <c r="L16" s="326"/>
      <c r="M16" s="326"/>
      <c r="N16" s="326"/>
      <c r="O16" s="329"/>
      <c r="P16" s="326"/>
      <c r="Q16" s="326"/>
    </row>
    <row r="17" spans="1:17" s="322" customFormat="1" ht="46.5" customHeight="1" x14ac:dyDescent="0.35">
      <c r="A17" s="273" t="s">
        <v>222</v>
      </c>
      <c r="B17" s="273" t="s">
        <v>318</v>
      </c>
      <c r="C17" s="514"/>
      <c r="D17" s="514"/>
      <c r="E17" s="514">
        <v>25000</v>
      </c>
      <c r="F17" s="514"/>
      <c r="G17" s="514"/>
      <c r="H17" s="514"/>
      <c r="I17" s="174"/>
      <c r="J17" s="514"/>
      <c r="L17" s="326"/>
      <c r="M17" s="326"/>
      <c r="N17" s="326"/>
      <c r="O17" s="329"/>
      <c r="P17" s="326"/>
      <c r="Q17" s="326"/>
    </row>
    <row r="18" spans="1:17" s="322" customFormat="1" ht="42" customHeight="1" x14ac:dyDescent="0.35">
      <c r="A18" s="273" t="s">
        <v>354</v>
      </c>
      <c r="B18" s="273" t="s">
        <v>603</v>
      </c>
      <c r="C18" s="514"/>
      <c r="D18" s="514">
        <v>9022</v>
      </c>
      <c r="E18" s="514"/>
      <c r="F18" s="514"/>
      <c r="G18" s="514"/>
      <c r="H18" s="514"/>
      <c r="I18" s="174"/>
      <c r="J18" s="299"/>
      <c r="L18" s="326"/>
      <c r="M18" s="326"/>
      <c r="N18" s="326"/>
      <c r="O18" s="329"/>
      <c r="P18" s="326"/>
      <c r="Q18" s="326"/>
    </row>
    <row r="19" spans="1:17" s="178" customFormat="1" ht="16.5" customHeight="1" x14ac:dyDescent="0.35">
      <c r="C19" s="236"/>
      <c r="D19" s="236"/>
      <c r="E19" s="328"/>
      <c r="F19" s="328"/>
      <c r="G19" s="41"/>
      <c r="H19" s="41"/>
      <c r="I19" s="316" t="s">
        <v>9</v>
      </c>
      <c r="J19" s="208"/>
      <c r="L19" s="326"/>
      <c r="M19" s="326"/>
      <c r="N19" s="326"/>
      <c r="O19" s="329"/>
      <c r="P19" s="326"/>
      <c r="Q19" s="326"/>
    </row>
    <row r="20" spans="1:17" s="178" customFormat="1" ht="18.600000000000001" thickBot="1" x14ac:dyDescent="0.4">
      <c r="A20" s="107"/>
      <c r="B20" s="108" t="s">
        <v>0</v>
      </c>
      <c r="C20" s="209">
        <f t="shared" ref="C20:H20" si="0">SUM(C6:C18)</f>
        <v>500000</v>
      </c>
      <c r="D20" s="209">
        <f t="shared" si="0"/>
        <v>46522</v>
      </c>
      <c r="E20" s="209">
        <f t="shared" si="0"/>
        <v>47000</v>
      </c>
      <c r="F20" s="209">
        <f t="shared" si="0"/>
        <v>39290</v>
      </c>
      <c r="G20" s="209">
        <f t="shared" si="0"/>
        <v>70000</v>
      </c>
      <c r="H20" s="209">
        <f t="shared" si="0"/>
        <v>164740</v>
      </c>
      <c r="I20" s="272">
        <f>SUM(C20:H20)</f>
        <v>867552</v>
      </c>
      <c r="J20" s="49">
        <f>SUM(J8:J15)</f>
        <v>336399</v>
      </c>
      <c r="L20" s="326"/>
      <c r="M20" s="326"/>
      <c r="N20" s="326"/>
      <c r="O20" s="329"/>
      <c r="P20" s="326"/>
      <c r="Q20" s="329"/>
    </row>
    <row r="21" spans="1:17" ht="14.4" thickTop="1" x14ac:dyDescent="0.3">
      <c r="C21" s="6"/>
      <c r="I21" s="324">
        <v>6</v>
      </c>
      <c r="J21" s="176" t="s">
        <v>112</v>
      </c>
      <c r="L21" s="326"/>
      <c r="M21" s="326"/>
      <c r="N21" s="326"/>
      <c r="O21" s="329"/>
      <c r="P21" s="329"/>
      <c r="Q21" s="326"/>
    </row>
    <row r="22" spans="1:17" x14ac:dyDescent="0.3">
      <c r="B22" s="324" t="s">
        <v>411</v>
      </c>
      <c r="C22" s="179">
        <v>0</v>
      </c>
      <c r="I22" s="113">
        <f>I20/I21</f>
        <v>144592</v>
      </c>
      <c r="L22" s="326"/>
      <c r="M22" s="326"/>
      <c r="N22" s="326"/>
      <c r="O22" s="326"/>
      <c r="P22" s="326"/>
      <c r="Q22" s="326"/>
    </row>
    <row r="23" spans="1:17" x14ac:dyDescent="0.3">
      <c r="C23" s="6"/>
      <c r="L23" s="326"/>
      <c r="M23" s="326"/>
      <c r="N23" s="326"/>
      <c r="O23" s="329"/>
      <c r="P23" s="326"/>
      <c r="Q23" s="326"/>
    </row>
    <row r="24" spans="1:17" x14ac:dyDescent="0.3">
      <c r="B24" s="558" t="s">
        <v>644</v>
      </c>
      <c r="C24" s="324">
        <v>486000</v>
      </c>
      <c r="D24" s="180">
        <f>C29</f>
        <v>36000</v>
      </c>
      <c r="E24" s="180">
        <f>D29</f>
        <v>44478</v>
      </c>
      <c r="F24" s="180">
        <f t="shared" ref="F24:H24" si="1">E29</f>
        <v>52478</v>
      </c>
      <c r="G24" s="180">
        <f t="shared" si="1"/>
        <v>68188</v>
      </c>
      <c r="H24" s="180">
        <f t="shared" si="1"/>
        <v>53188</v>
      </c>
      <c r="I24" s="176" t="s">
        <v>666</v>
      </c>
      <c r="L24" s="326"/>
      <c r="M24" s="326"/>
      <c r="N24" s="326"/>
      <c r="O24" s="329"/>
      <c r="P24" s="326"/>
      <c r="Q24" s="326"/>
    </row>
    <row r="25" spans="1:17" s="319" customFormat="1" x14ac:dyDescent="0.3">
      <c r="B25" s="65" t="s">
        <v>281</v>
      </c>
      <c r="C25" s="180">
        <v>50000</v>
      </c>
      <c r="D25" s="180">
        <f>C25</f>
        <v>50000</v>
      </c>
      <c r="E25" s="180">
        <f>D25</f>
        <v>50000</v>
      </c>
      <c r="F25" s="180">
        <f t="shared" ref="F25:H25" si="2">E25</f>
        <v>50000</v>
      </c>
      <c r="G25" s="180">
        <f t="shared" si="2"/>
        <v>50000</v>
      </c>
      <c r="H25" s="180">
        <f t="shared" si="2"/>
        <v>50000</v>
      </c>
      <c r="L25" s="326"/>
      <c r="M25" s="326"/>
      <c r="N25" s="326"/>
      <c r="O25" s="329"/>
      <c r="P25" s="326"/>
      <c r="Q25" s="326"/>
    </row>
    <row r="26" spans="1:17" x14ac:dyDescent="0.3">
      <c r="B26" s="65" t="s">
        <v>219</v>
      </c>
      <c r="C26" s="180">
        <v>0</v>
      </c>
      <c r="D26" s="180">
        <v>0</v>
      </c>
      <c r="E26" s="180">
        <v>0</v>
      </c>
      <c r="F26" s="180">
        <v>0</v>
      </c>
      <c r="G26" s="180">
        <v>0</v>
      </c>
      <c r="H26" s="180">
        <v>0</v>
      </c>
      <c r="L26" s="326"/>
      <c r="M26" s="326"/>
      <c r="N26" s="326"/>
      <c r="O26" s="329"/>
      <c r="P26" s="326"/>
      <c r="Q26" s="329"/>
    </row>
    <row r="27" spans="1:17" x14ac:dyDescent="0.3">
      <c r="B27" s="65" t="s">
        <v>84</v>
      </c>
      <c r="C27" s="324">
        <v>0</v>
      </c>
      <c r="D27" s="324">
        <v>5000</v>
      </c>
      <c r="E27" s="324">
        <v>5000</v>
      </c>
      <c r="F27" s="324">
        <v>5000</v>
      </c>
      <c r="G27" s="324">
        <v>5000</v>
      </c>
      <c r="H27" s="324">
        <v>5000</v>
      </c>
      <c r="L27" s="326"/>
      <c r="M27" s="326"/>
      <c r="N27" s="326"/>
      <c r="O27" s="329"/>
      <c r="P27" s="329"/>
      <c r="Q27" s="326"/>
    </row>
    <row r="28" spans="1:17" ht="15.6" x14ac:dyDescent="0.45">
      <c r="B28" s="65" t="s">
        <v>36</v>
      </c>
      <c r="C28" s="193">
        <f t="shared" ref="C28:H28" si="3">-C20</f>
        <v>-500000</v>
      </c>
      <c r="D28" s="325">
        <f t="shared" si="3"/>
        <v>-46522</v>
      </c>
      <c r="E28" s="325">
        <f t="shared" si="3"/>
        <v>-47000</v>
      </c>
      <c r="F28" s="325">
        <f t="shared" si="3"/>
        <v>-39290</v>
      </c>
      <c r="G28" s="325">
        <f t="shared" si="3"/>
        <v>-70000</v>
      </c>
      <c r="H28" s="325">
        <f t="shared" si="3"/>
        <v>-164740</v>
      </c>
      <c r="L28" s="326"/>
      <c r="M28" s="326"/>
      <c r="N28" s="326"/>
      <c r="O28" s="326"/>
      <c r="P28" s="326"/>
      <c r="Q28" s="326"/>
    </row>
    <row r="29" spans="1:17" ht="15.6" x14ac:dyDescent="0.45">
      <c r="B29" s="79" t="s">
        <v>37</v>
      </c>
      <c r="C29" s="63">
        <f t="shared" ref="C29:H29" si="4">SUM(C24:C28)</f>
        <v>36000</v>
      </c>
      <c r="D29" s="63">
        <f t="shared" si="4"/>
        <v>44478</v>
      </c>
      <c r="E29" s="289">
        <f t="shared" si="4"/>
        <v>52478</v>
      </c>
      <c r="F29" s="289">
        <f t="shared" si="4"/>
        <v>68188</v>
      </c>
      <c r="G29" s="63">
        <f t="shared" si="4"/>
        <v>53188</v>
      </c>
      <c r="H29" s="63">
        <f t="shared" si="4"/>
        <v>-56552</v>
      </c>
      <c r="L29" s="326"/>
      <c r="M29" s="326"/>
      <c r="N29" s="326"/>
      <c r="O29" s="329"/>
      <c r="P29" s="326"/>
      <c r="Q29" s="326"/>
    </row>
    <row r="30" spans="1:17" x14ac:dyDescent="0.3">
      <c r="A30" s="3"/>
      <c r="B30" s="3"/>
      <c r="C30" s="6"/>
      <c r="D30" s="6"/>
      <c r="E30" s="6"/>
      <c r="F30" s="6"/>
      <c r="G30" s="6"/>
      <c r="H30" s="6"/>
      <c r="I30" s="3"/>
      <c r="J30" s="3"/>
      <c r="L30" s="326"/>
      <c r="M30" s="326"/>
      <c r="N30" s="326"/>
      <c r="O30" s="329"/>
      <c r="P30" s="326"/>
      <c r="Q30" s="326"/>
    </row>
    <row r="31" spans="1:17" ht="15.6" x14ac:dyDescent="0.45">
      <c r="A31" s="3"/>
      <c r="B31" s="3"/>
      <c r="C31" s="210"/>
      <c r="D31" s="210"/>
      <c r="E31" s="210"/>
      <c r="F31" s="210"/>
      <c r="G31" s="210"/>
      <c r="H31" s="210"/>
      <c r="I31" s="3"/>
      <c r="J31" s="3"/>
      <c r="L31" s="326"/>
      <c r="M31" s="326"/>
      <c r="N31" s="326"/>
      <c r="O31" s="329"/>
      <c r="P31" s="326"/>
      <c r="Q31" s="326"/>
    </row>
    <row r="32" spans="1:17" ht="15.6" x14ac:dyDescent="0.45">
      <c r="A32" s="3"/>
      <c r="B32" s="211"/>
      <c r="C32" s="212"/>
      <c r="D32" s="212"/>
      <c r="E32" s="212"/>
      <c r="F32" s="212"/>
      <c r="G32" s="212"/>
      <c r="H32" s="212"/>
      <c r="I32" s="3"/>
      <c r="J32" s="3"/>
      <c r="L32" s="326"/>
      <c r="M32" s="326"/>
      <c r="N32" s="326"/>
      <c r="O32" s="329"/>
      <c r="P32" s="326"/>
      <c r="Q32" s="329"/>
    </row>
    <row r="33" spans="1:17" x14ac:dyDescent="0.3">
      <c r="A33" s="3"/>
      <c r="B33" s="3"/>
      <c r="C33" s="3"/>
      <c r="D33" s="3"/>
      <c r="E33" s="3"/>
      <c r="F33" s="3"/>
      <c r="G33" s="3"/>
      <c r="H33" s="3"/>
      <c r="I33" s="3"/>
      <c r="J33" s="3"/>
      <c r="L33" s="326"/>
      <c r="M33" s="326"/>
      <c r="N33" s="326"/>
      <c r="O33" s="329"/>
      <c r="P33" s="329"/>
      <c r="Q33" s="326"/>
    </row>
    <row r="34" spans="1:17" x14ac:dyDescent="0.3">
      <c r="L34" s="326"/>
      <c r="M34" s="326"/>
      <c r="N34" s="326"/>
      <c r="O34" s="326"/>
      <c r="P34" s="326"/>
      <c r="Q34" s="326"/>
    </row>
    <row r="35" spans="1:17" x14ac:dyDescent="0.3">
      <c r="L35" s="326"/>
      <c r="M35" s="326"/>
      <c r="N35" s="326"/>
      <c r="O35" s="329"/>
      <c r="P35" s="326"/>
      <c r="Q35" s="326"/>
    </row>
    <row r="36" spans="1:17" x14ac:dyDescent="0.3">
      <c r="L36" s="326"/>
      <c r="M36" s="326"/>
      <c r="N36" s="326"/>
      <c r="O36" s="329"/>
      <c r="P36" s="326"/>
      <c r="Q36" s="326"/>
    </row>
    <row r="37" spans="1:17" x14ac:dyDescent="0.3">
      <c r="L37" s="326"/>
      <c r="M37" s="326"/>
      <c r="N37" s="326"/>
      <c r="O37" s="329"/>
      <c r="P37" s="326"/>
      <c r="Q37" s="326"/>
    </row>
    <row r="38" spans="1:17" x14ac:dyDescent="0.3">
      <c r="L38" s="326"/>
      <c r="M38" s="326"/>
      <c r="N38" s="326"/>
      <c r="O38" s="329"/>
      <c r="P38" s="326"/>
      <c r="Q38" s="326"/>
    </row>
    <row r="39" spans="1:17" x14ac:dyDescent="0.3">
      <c r="L39" s="326"/>
      <c r="M39" s="326"/>
      <c r="N39" s="326"/>
      <c r="O39" s="329"/>
      <c r="P39" s="326"/>
      <c r="Q39" s="326"/>
    </row>
    <row r="40" spans="1:17" x14ac:dyDescent="0.3">
      <c r="L40" s="326"/>
      <c r="M40" s="326"/>
      <c r="N40" s="326"/>
      <c r="O40" s="329"/>
      <c r="P40" s="326"/>
      <c r="Q40" s="326"/>
    </row>
    <row r="41" spans="1:17" x14ac:dyDescent="0.3">
      <c r="L41" s="326"/>
      <c r="M41" s="326"/>
      <c r="N41" s="326"/>
      <c r="O41" s="329"/>
      <c r="P41" s="326"/>
      <c r="Q41" s="329"/>
    </row>
    <row r="42" spans="1:17" x14ac:dyDescent="0.3">
      <c r="L42" s="326"/>
      <c r="M42" s="326"/>
      <c r="N42" s="326"/>
      <c r="O42" s="329"/>
      <c r="P42" s="329"/>
      <c r="Q42" s="326"/>
    </row>
    <row r="43" spans="1:17" x14ac:dyDescent="0.3">
      <c r="L43" s="326"/>
      <c r="M43" s="326"/>
      <c r="N43" s="326"/>
      <c r="O43" s="326"/>
      <c r="P43" s="326"/>
      <c r="Q43" s="326"/>
    </row>
    <row r="44" spans="1:17" x14ac:dyDescent="0.3">
      <c r="L44" s="326"/>
      <c r="M44" s="326"/>
      <c r="N44" s="326"/>
      <c r="O44" s="329"/>
      <c r="P44" s="326"/>
      <c r="Q44" s="329"/>
    </row>
    <row r="45" spans="1:17" x14ac:dyDescent="0.3">
      <c r="L45" s="326"/>
      <c r="M45" s="326"/>
      <c r="N45" s="326"/>
      <c r="O45" s="326"/>
      <c r="P45" s="329"/>
      <c r="Q45" s="326"/>
    </row>
    <row r="46" spans="1:17" x14ac:dyDescent="0.3">
      <c r="L46" s="326"/>
      <c r="M46" s="326"/>
      <c r="N46" s="326"/>
      <c r="O46" s="329"/>
      <c r="P46" s="326"/>
      <c r="Q46" s="326"/>
    </row>
    <row r="47" spans="1:17" x14ac:dyDescent="0.3">
      <c r="L47" s="326"/>
      <c r="M47" s="326"/>
      <c r="N47" s="326"/>
      <c r="O47" s="329"/>
      <c r="P47" s="326"/>
      <c r="Q47" s="326"/>
    </row>
    <row r="48" spans="1:17" x14ac:dyDescent="0.3">
      <c r="L48" s="326"/>
      <c r="M48" s="326"/>
      <c r="N48" s="326"/>
      <c r="O48" s="329"/>
      <c r="P48" s="326"/>
      <c r="Q48" s="326"/>
    </row>
    <row r="49" spans="12:17" x14ac:dyDescent="0.3">
      <c r="L49" s="326"/>
      <c r="M49" s="326"/>
      <c r="N49" s="326"/>
      <c r="O49" s="329"/>
      <c r="P49" s="326"/>
      <c r="Q49" s="326"/>
    </row>
    <row r="50" spans="12:17" x14ac:dyDescent="0.3">
      <c r="L50" s="326"/>
      <c r="M50" s="326"/>
      <c r="N50" s="326"/>
      <c r="O50" s="329"/>
      <c r="P50" s="326"/>
      <c r="Q50" s="329"/>
    </row>
    <row r="51" spans="12:17" x14ac:dyDescent="0.3">
      <c r="L51" s="326"/>
      <c r="M51" s="326"/>
      <c r="N51" s="326"/>
      <c r="O51" s="329"/>
      <c r="P51" s="329"/>
      <c r="Q51" s="326"/>
    </row>
    <row r="52" spans="12:17" x14ac:dyDescent="0.3">
      <c r="L52" s="326"/>
      <c r="M52" s="326"/>
      <c r="N52" s="326"/>
      <c r="O52" s="326"/>
      <c r="P52" s="326"/>
      <c r="Q52" s="326"/>
    </row>
    <row r="53" spans="12:17" x14ac:dyDescent="0.3">
      <c r="L53" s="326"/>
      <c r="M53" s="326"/>
      <c r="N53" s="326"/>
      <c r="O53" s="329"/>
      <c r="P53" s="326"/>
      <c r="Q53" s="326"/>
    </row>
    <row r="54" spans="12:17" x14ac:dyDescent="0.3">
      <c r="L54" s="326"/>
      <c r="M54" s="326"/>
      <c r="N54" s="326"/>
      <c r="O54" s="329"/>
      <c r="P54" s="326"/>
      <c r="Q54" s="329"/>
    </row>
    <row r="55" spans="12:17" x14ac:dyDescent="0.3">
      <c r="L55" s="326"/>
      <c r="M55" s="326"/>
      <c r="N55" s="326"/>
      <c r="O55" s="329"/>
      <c r="P55" s="329"/>
      <c r="Q55" s="326"/>
    </row>
    <row r="56" spans="12:17" x14ac:dyDescent="0.3">
      <c r="L56" s="326"/>
      <c r="M56" s="326"/>
      <c r="N56" s="326"/>
      <c r="O56" s="326"/>
      <c r="P56" s="326"/>
      <c r="Q56" s="326"/>
    </row>
    <row r="57" spans="12:17" x14ac:dyDescent="0.3">
      <c r="L57" s="326"/>
      <c r="M57" s="326"/>
      <c r="N57" s="326"/>
      <c r="O57" s="329"/>
      <c r="P57" s="326"/>
      <c r="Q57" s="326"/>
    </row>
    <row r="58" spans="12:17" x14ac:dyDescent="0.3">
      <c r="L58" s="326"/>
      <c r="M58" s="326"/>
      <c r="N58" s="326"/>
      <c r="O58" s="329"/>
      <c r="P58" s="326"/>
      <c r="Q58" s="326"/>
    </row>
    <row r="59" spans="12:17" x14ac:dyDescent="0.3">
      <c r="L59" s="326"/>
      <c r="M59" s="326"/>
      <c r="N59" s="326"/>
      <c r="O59" s="329"/>
      <c r="P59" s="326"/>
      <c r="Q59" s="326"/>
    </row>
    <row r="60" spans="12:17" x14ac:dyDescent="0.3">
      <c r="L60" s="326"/>
      <c r="M60" s="326"/>
      <c r="N60" s="326"/>
      <c r="O60" s="329"/>
      <c r="P60" s="326"/>
      <c r="Q60" s="326"/>
    </row>
    <row r="61" spans="12:17" x14ac:dyDescent="0.3">
      <c r="L61" s="326"/>
      <c r="M61" s="326"/>
      <c r="N61" s="326"/>
      <c r="O61" s="329"/>
      <c r="P61" s="326"/>
      <c r="Q61" s="329"/>
    </row>
    <row r="62" spans="12:17" x14ac:dyDescent="0.3">
      <c r="L62" s="326"/>
      <c r="M62" s="326"/>
      <c r="N62" s="326"/>
      <c r="O62" s="329"/>
      <c r="P62" s="329"/>
      <c r="Q62" s="326"/>
    </row>
    <row r="63" spans="12:17" x14ac:dyDescent="0.3">
      <c r="L63" s="326"/>
      <c r="M63" s="326"/>
      <c r="N63" s="326"/>
      <c r="O63" s="326"/>
      <c r="P63" s="326"/>
      <c r="Q63" s="326"/>
    </row>
    <row r="64" spans="12:17" x14ac:dyDescent="0.3">
      <c r="L64" s="326"/>
      <c r="M64" s="326"/>
      <c r="N64" s="326"/>
      <c r="O64" s="329"/>
      <c r="P64" s="326"/>
      <c r="Q64" s="329"/>
    </row>
    <row r="65" spans="12:17" x14ac:dyDescent="0.3">
      <c r="L65" s="326"/>
      <c r="M65" s="326"/>
      <c r="N65" s="326"/>
      <c r="O65" s="326"/>
      <c r="P65" s="329"/>
      <c r="Q65" s="326"/>
    </row>
    <row r="66" spans="12:17" x14ac:dyDescent="0.3">
      <c r="L66" s="326"/>
      <c r="M66" s="326"/>
      <c r="N66" s="326"/>
      <c r="O66" s="326"/>
      <c r="P66" s="326"/>
      <c r="Q66" s="326"/>
    </row>
    <row r="67" spans="12:17" x14ac:dyDescent="0.3">
      <c r="L67" s="326"/>
      <c r="M67" s="326"/>
      <c r="N67" s="326"/>
      <c r="O67" s="329"/>
      <c r="P67" s="326"/>
      <c r="Q67" s="326"/>
    </row>
    <row r="68" spans="12:17" x14ac:dyDescent="0.3">
      <c r="L68" s="326"/>
      <c r="M68" s="326"/>
      <c r="N68" s="326"/>
      <c r="O68" s="329"/>
      <c r="P68" s="326"/>
      <c r="Q68" s="326"/>
    </row>
    <row r="69" spans="12:17" x14ac:dyDescent="0.3">
      <c r="L69" s="326"/>
      <c r="M69" s="326"/>
      <c r="N69" s="326"/>
      <c r="O69" s="329"/>
      <c r="P69" s="326"/>
      <c r="Q69" s="326"/>
    </row>
    <row r="70" spans="12:17" x14ac:dyDescent="0.3">
      <c r="L70" s="326"/>
      <c r="M70" s="326"/>
      <c r="N70" s="326"/>
      <c r="O70" s="329"/>
      <c r="P70" s="326"/>
      <c r="Q70" s="329"/>
    </row>
    <row r="71" spans="12:17" x14ac:dyDescent="0.3">
      <c r="L71" s="326"/>
      <c r="M71" s="326"/>
      <c r="N71" s="326"/>
      <c r="O71" s="329"/>
      <c r="P71" s="329"/>
      <c r="Q71" s="326"/>
    </row>
    <row r="72" spans="12:17" x14ac:dyDescent="0.3">
      <c r="L72" s="326"/>
      <c r="M72" s="326"/>
      <c r="N72" s="326"/>
      <c r="O72" s="326"/>
      <c r="P72" s="326"/>
      <c r="Q72" s="326"/>
    </row>
    <row r="73" spans="12:17" x14ac:dyDescent="0.3">
      <c r="L73" s="326"/>
      <c r="M73" s="326"/>
      <c r="N73" s="326"/>
      <c r="O73" s="329"/>
      <c r="P73" s="326"/>
      <c r="Q73" s="326"/>
    </row>
    <row r="74" spans="12:17" x14ac:dyDescent="0.3">
      <c r="L74" s="326"/>
      <c r="M74" s="326"/>
      <c r="N74" s="326"/>
      <c r="O74" s="329"/>
      <c r="P74" s="326"/>
      <c r="Q74" s="326"/>
    </row>
    <row r="75" spans="12:17" x14ac:dyDescent="0.3">
      <c r="L75" s="326"/>
      <c r="M75" s="326"/>
      <c r="N75" s="326"/>
      <c r="O75" s="329"/>
      <c r="P75" s="326"/>
      <c r="Q75" s="329"/>
    </row>
    <row r="76" spans="12:17" x14ac:dyDescent="0.3">
      <c r="L76" s="326"/>
      <c r="M76" s="326"/>
      <c r="N76" s="326"/>
      <c r="O76" s="329"/>
      <c r="P76" s="329"/>
      <c r="Q76" s="326"/>
    </row>
    <row r="77" spans="12:17" x14ac:dyDescent="0.3">
      <c r="L77" s="326"/>
      <c r="M77" s="326"/>
      <c r="N77" s="326"/>
      <c r="O77" s="326"/>
      <c r="P77" s="326"/>
      <c r="Q77" s="326"/>
    </row>
    <row r="78" spans="12:17" x14ac:dyDescent="0.3">
      <c r="L78" s="326"/>
      <c r="M78" s="326"/>
      <c r="N78" s="326"/>
      <c r="O78" s="326"/>
      <c r="P78" s="326"/>
      <c r="Q78" s="326"/>
    </row>
    <row r="79" spans="12:17" x14ac:dyDescent="0.3">
      <c r="L79" s="326"/>
      <c r="M79" s="326"/>
      <c r="N79" s="326"/>
      <c r="O79" s="329"/>
      <c r="P79" s="326"/>
      <c r="Q79" s="326"/>
    </row>
    <row r="80" spans="12:17" x14ac:dyDescent="0.3">
      <c r="L80" s="326"/>
      <c r="M80" s="326"/>
      <c r="N80" s="326"/>
      <c r="O80" s="329"/>
      <c r="P80" s="326"/>
      <c r="Q80" s="329"/>
    </row>
    <row r="81" spans="12:17" x14ac:dyDescent="0.3">
      <c r="L81" s="326"/>
      <c r="M81" s="326"/>
      <c r="N81" s="326"/>
      <c r="O81" s="329"/>
      <c r="P81" s="329"/>
      <c r="Q81" s="326"/>
    </row>
  </sheetData>
  <mergeCells count="1">
    <mergeCell ref="I4:J4"/>
  </mergeCells>
  <pageMargins left="0.7" right="0.7" top="0.75" bottom="0.75" header="0.3" footer="0.3"/>
  <pageSetup scale="65" orientation="landscape" r:id="rId1"/>
  <headerFooter>
    <oddHeader>&amp;C&amp;"-,Bold"&amp;12CIP DEPARTMENT INFORMATION REQUEST FORM
DEPARTMENT:  RECYCLING</oddHeader>
    <oddFooter>&amp;L&amp;A&amp;RPage &amp;P of &amp;N</oddFooter>
  </headerFooter>
  <rowBreaks count="1" manualBreakCount="1">
    <brk id="33" max="19"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view="pageBreakPreview" zoomScaleNormal="100" zoomScaleSheetLayoutView="100" workbookViewId="0">
      <pane ySplit="1" topLeftCell="A2" activePane="bottomLeft" state="frozen"/>
      <selection pane="bottomLeft"/>
    </sheetView>
  </sheetViews>
  <sheetFormatPr defaultColWidth="9.109375" defaultRowHeight="13.8" x14ac:dyDescent="0.3"/>
  <cols>
    <col min="1" max="1" width="26.109375" style="319" customWidth="1"/>
    <col min="2" max="2" width="45.6640625" style="319" customWidth="1"/>
    <col min="3" max="3" width="40.44140625" style="319" customWidth="1"/>
    <col min="4" max="4" width="19.6640625" style="319" customWidth="1"/>
    <col min="5" max="5" width="16" style="319" customWidth="1"/>
    <col min="6" max="6" width="15.109375" style="319" customWidth="1"/>
    <col min="7" max="8" width="9.109375" style="319"/>
    <col min="9" max="9" width="27.44140625" style="319" customWidth="1"/>
    <col min="10" max="10" width="17.33203125" style="319" customWidth="1"/>
    <col min="11" max="11" width="18.33203125" style="319" customWidth="1"/>
    <col min="12" max="16384" width="9.109375" style="319"/>
  </cols>
  <sheetData>
    <row r="1" spans="1:9" ht="24.75" customHeight="1" thickBot="1" x14ac:dyDescent="0.35">
      <c r="A1" s="480" t="s">
        <v>716</v>
      </c>
      <c r="B1" s="481" t="s">
        <v>521</v>
      </c>
      <c r="C1" s="482" t="s">
        <v>522</v>
      </c>
      <c r="D1" s="481" t="s">
        <v>523</v>
      </c>
    </row>
    <row r="2" spans="1:9" ht="15" customHeight="1" x14ac:dyDescent="0.3">
      <c r="A2" s="483" t="s">
        <v>524</v>
      </c>
      <c r="B2" s="484" t="s">
        <v>525</v>
      </c>
      <c r="C2" s="484" t="s">
        <v>526</v>
      </c>
      <c r="D2" s="485">
        <v>270000</v>
      </c>
    </row>
    <row r="3" spans="1:9" ht="15.75" customHeight="1" x14ac:dyDescent="0.3">
      <c r="A3" s="486"/>
      <c r="B3" s="487" t="s">
        <v>527</v>
      </c>
      <c r="C3" s="487" t="s">
        <v>528</v>
      </c>
      <c r="D3" s="515">
        <v>100000</v>
      </c>
      <c r="I3" s="488"/>
    </row>
    <row r="4" spans="1:9" ht="14.4" thickBot="1" x14ac:dyDescent="0.35">
      <c r="A4" s="489"/>
      <c r="B4" s="490" t="s">
        <v>529</v>
      </c>
      <c r="C4" s="490" t="s">
        <v>529</v>
      </c>
      <c r="D4" s="516">
        <v>70000</v>
      </c>
      <c r="E4" s="492" t="s">
        <v>530</v>
      </c>
      <c r="F4" s="492">
        <f>10%*D5</f>
        <v>44000</v>
      </c>
    </row>
    <row r="5" spans="1:9" ht="14.4" thickBot="1" x14ac:dyDescent="0.35">
      <c r="D5" s="493">
        <f>SUM(D2:D4)</f>
        <v>440000</v>
      </c>
      <c r="E5" s="492">
        <f>D5+F4</f>
        <v>484000</v>
      </c>
      <c r="I5" s="488"/>
    </row>
    <row r="6" spans="1:9" ht="14.4" thickBot="1" x14ac:dyDescent="0.35">
      <c r="D6" s="494"/>
      <c r="I6" s="488"/>
    </row>
    <row r="7" spans="1:9" x14ac:dyDescent="0.3">
      <c r="A7" s="495" t="s">
        <v>531</v>
      </c>
      <c r="B7" s="496"/>
      <c r="C7" s="496" t="s">
        <v>532</v>
      </c>
      <c r="D7" s="497">
        <v>20000</v>
      </c>
      <c r="H7" s="488"/>
      <c r="I7" s="488"/>
    </row>
    <row r="8" spans="1:9" x14ac:dyDescent="0.3">
      <c r="A8" s="498"/>
      <c r="B8" s="499" t="s">
        <v>533</v>
      </c>
      <c r="C8" s="499" t="s">
        <v>534</v>
      </c>
      <c r="D8" s="517">
        <v>30000</v>
      </c>
      <c r="E8" s="494"/>
      <c r="I8" s="488"/>
    </row>
    <row r="9" spans="1:9" ht="14.4" thickBot="1" x14ac:dyDescent="0.35">
      <c r="A9" s="489"/>
      <c r="B9" s="490" t="s">
        <v>535</v>
      </c>
      <c r="C9" s="490" t="s">
        <v>710</v>
      </c>
      <c r="D9" s="516">
        <v>12000</v>
      </c>
      <c r="E9" s="492" t="s">
        <v>530</v>
      </c>
      <c r="F9" s="492">
        <f>10%*D10</f>
        <v>6200</v>
      </c>
    </row>
    <row r="10" spans="1:9" ht="14.4" thickBot="1" x14ac:dyDescent="0.35">
      <c r="D10" s="500">
        <f>SUM(D7:D9)</f>
        <v>62000</v>
      </c>
      <c r="E10" s="492">
        <f>D10+F9</f>
        <v>68200</v>
      </c>
    </row>
    <row r="11" spans="1:9" ht="14.4" thickBot="1" x14ac:dyDescent="0.35">
      <c r="D11" s="494"/>
      <c r="E11" s="494"/>
    </row>
    <row r="12" spans="1:9" x14ac:dyDescent="0.3">
      <c r="A12" s="495" t="s">
        <v>536</v>
      </c>
      <c r="B12" s="496"/>
      <c r="C12" s="496" t="s">
        <v>537</v>
      </c>
      <c r="D12" s="497">
        <v>35000</v>
      </c>
      <c r="E12" s="494"/>
    </row>
    <row r="13" spans="1:9" x14ac:dyDescent="0.3">
      <c r="A13" s="498"/>
      <c r="B13" s="499"/>
      <c r="C13" s="499" t="s">
        <v>528</v>
      </c>
      <c r="D13" s="517">
        <v>25000</v>
      </c>
      <c r="E13" s="494"/>
    </row>
    <row r="14" spans="1:9" x14ac:dyDescent="0.3">
      <c r="A14" s="498"/>
      <c r="B14" s="499" t="s">
        <v>711</v>
      </c>
      <c r="C14" s="499" t="s">
        <v>538</v>
      </c>
      <c r="D14" s="517">
        <v>15000</v>
      </c>
      <c r="E14" s="494"/>
    </row>
    <row r="15" spans="1:9" x14ac:dyDescent="0.3">
      <c r="A15" s="498"/>
      <c r="B15" s="499"/>
      <c r="C15" s="499" t="s">
        <v>529</v>
      </c>
      <c r="D15" s="517">
        <v>6000</v>
      </c>
      <c r="E15" s="494"/>
    </row>
    <row r="16" spans="1:9" ht="14.4" thickBot="1" x14ac:dyDescent="0.35">
      <c r="A16" s="489"/>
      <c r="B16" s="490"/>
      <c r="C16" s="490" t="s">
        <v>539</v>
      </c>
      <c r="D16" s="516">
        <v>5000</v>
      </c>
      <c r="E16" s="492" t="s">
        <v>530</v>
      </c>
      <c r="F16" s="492">
        <f>10%*86000</f>
        <v>8600</v>
      </c>
    </row>
    <row r="17" spans="1:6" ht="14.4" thickBot="1" x14ac:dyDescent="0.35">
      <c r="D17" s="500">
        <f>SUM(D12:D16)</f>
        <v>86000</v>
      </c>
      <c r="E17" s="492">
        <f>D17+F16</f>
        <v>94600</v>
      </c>
    </row>
    <row r="18" spans="1:6" ht="14.4" thickBot="1" x14ac:dyDescent="0.35">
      <c r="D18" s="494"/>
      <c r="E18" s="494"/>
    </row>
    <row r="19" spans="1:6" x14ac:dyDescent="0.3">
      <c r="A19" s="495" t="s">
        <v>540</v>
      </c>
      <c r="B19" s="496" t="s">
        <v>541</v>
      </c>
      <c r="C19" s="496" t="s">
        <v>542</v>
      </c>
      <c r="D19" s="497">
        <v>10824</v>
      </c>
      <c r="E19" s="494"/>
    </row>
    <row r="20" spans="1:6" x14ac:dyDescent="0.3">
      <c r="A20" s="498"/>
      <c r="B20" s="499"/>
      <c r="C20" s="499" t="s">
        <v>543</v>
      </c>
      <c r="D20" s="517">
        <v>6199</v>
      </c>
    </row>
    <row r="21" spans="1:6" x14ac:dyDescent="0.3">
      <c r="A21" s="498"/>
      <c r="B21" s="499"/>
      <c r="C21" s="499" t="s">
        <v>544</v>
      </c>
      <c r="D21" s="517">
        <v>2024</v>
      </c>
    </row>
    <row r="22" spans="1:6" ht="14.4" thickBot="1" x14ac:dyDescent="0.35">
      <c r="A22" s="489"/>
      <c r="B22" s="490"/>
      <c r="C22" s="490" t="s">
        <v>545</v>
      </c>
      <c r="D22" s="516">
        <v>2000</v>
      </c>
      <c r="E22" s="492" t="s">
        <v>546</v>
      </c>
      <c r="F22" s="492">
        <f>5%*D23</f>
        <v>1052.3500000000001</v>
      </c>
    </row>
    <row r="23" spans="1:6" ht="14.4" thickBot="1" x14ac:dyDescent="0.35">
      <c r="D23" s="500">
        <f>SUM(D19:D22)</f>
        <v>21047</v>
      </c>
      <c r="E23" s="492">
        <f>D23+F22</f>
        <v>22099.35</v>
      </c>
      <c r="F23" s="494"/>
    </row>
    <row r="24" spans="1:6" ht="14.4" thickBot="1" x14ac:dyDescent="0.35">
      <c r="D24" s="494"/>
      <c r="F24" s="494"/>
    </row>
    <row r="25" spans="1:6" x14ac:dyDescent="0.3">
      <c r="A25" s="495" t="s">
        <v>547</v>
      </c>
      <c r="B25" s="496"/>
      <c r="C25" s="496" t="s">
        <v>548</v>
      </c>
      <c r="D25" s="497">
        <v>103012</v>
      </c>
      <c r="F25" s="494"/>
    </row>
    <row r="26" spans="1:6" x14ac:dyDescent="0.3">
      <c r="A26" s="498"/>
      <c r="B26" s="499"/>
      <c r="C26" s="499" t="s">
        <v>549</v>
      </c>
      <c r="D26" s="517">
        <v>13450</v>
      </c>
      <c r="F26" s="494"/>
    </row>
    <row r="27" spans="1:6" x14ac:dyDescent="0.3">
      <c r="A27" s="498"/>
      <c r="B27" s="499"/>
      <c r="C27" s="499" t="s">
        <v>550</v>
      </c>
      <c r="D27" s="517">
        <v>-4120</v>
      </c>
      <c r="F27" s="494"/>
    </row>
    <row r="28" spans="1:6" ht="14.4" thickBot="1" x14ac:dyDescent="0.35">
      <c r="A28" s="489"/>
      <c r="B28" s="490"/>
      <c r="C28" s="490" t="s">
        <v>551</v>
      </c>
      <c r="D28" s="516">
        <v>5724</v>
      </c>
      <c r="E28" s="492" t="s">
        <v>546</v>
      </c>
      <c r="F28" s="492">
        <f>5%*D29</f>
        <v>5903.3</v>
      </c>
    </row>
    <row r="29" spans="1:6" ht="14.4" thickBot="1" x14ac:dyDescent="0.35">
      <c r="D29" s="500">
        <f>SUM(D25:D28)</f>
        <v>118066</v>
      </c>
      <c r="E29" s="492">
        <f>D29+F28</f>
        <v>123969.3</v>
      </c>
      <c r="F29" s="494"/>
    </row>
    <row r="30" spans="1:6" ht="14.4" thickBot="1" x14ac:dyDescent="0.35">
      <c r="D30" s="494"/>
      <c r="F30" s="494"/>
    </row>
    <row r="31" spans="1:6" x14ac:dyDescent="0.3">
      <c r="A31" s="495" t="s">
        <v>552</v>
      </c>
      <c r="B31" s="496" t="s">
        <v>553</v>
      </c>
      <c r="C31" s="496" t="s">
        <v>554</v>
      </c>
      <c r="D31" s="497">
        <v>30000</v>
      </c>
      <c r="F31" s="494"/>
    </row>
    <row r="32" spans="1:6" x14ac:dyDescent="0.3">
      <c r="A32" s="498"/>
      <c r="B32" s="499" t="s">
        <v>704</v>
      </c>
      <c r="C32" s="499" t="s">
        <v>555</v>
      </c>
      <c r="D32" s="517">
        <v>24100</v>
      </c>
      <c r="F32" s="494"/>
    </row>
    <row r="33" spans="1:6" x14ac:dyDescent="0.3">
      <c r="A33" s="498"/>
      <c r="B33" s="499"/>
      <c r="C33" s="499" t="s">
        <v>556</v>
      </c>
      <c r="D33" s="517">
        <v>10000</v>
      </c>
      <c r="F33" s="494"/>
    </row>
    <row r="34" spans="1:6" x14ac:dyDescent="0.3">
      <c r="A34" s="498"/>
      <c r="B34" s="499"/>
      <c r="C34" s="499" t="s">
        <v>557</v>
      </c>
      <c r="D34" s="517">
        <v>6000</v>
      </c>
      <c r="E34" s="494"/>
      <c r="F34" s="494"/>
    </row>
    <row r="35" spans="1:6" x14ac:dyDescent="0.3">
      <c r="A35" s="498"/>
      <c r="B35" s="499"/>
      <c r="C35" s="499" t="s">
        <v>558</v>
      </c>
      <c r="D35" s="517">
        <v>3000</v>
      </c>
      <c r="F35" s="494"/>
    </row>
    <row r="36" spans="1:6" x14ac:dyDescent="0.3">
      <c r="A36" s="498"/>
      <c r="B36" s="499"/>
      <c r="C36" s="499" t="s">
        <v>559</v>
      </c>
      <c r="D36" s="517">
        <v>1725</v>
      </c>
      <c r="E36" s="494"/>
      <c r="F36" s="494"/>
    </row>
    <row r="37" spans="1:6" ht="14.4" thickBot="1" x14ac:dyDescent="0.35">
      <c r="A37" s="489"/>
      <c r="B37" s="490"/>
      <c r="C37" s="490" t="s">
        <v>560</v>
      </c>
      <c r="D37" s="516">
        <v>700</v>
      </c>
      <c r="E37" s="492" t="s">
        <v>546</v>
      </c>
      <c r="F37" s="492">
        <f>5%*D38</f>
        <v>3776.25</v>
      </c>
    </row>
    <row r="38" spans="1:6" ht="14.4" thickBot="1" x14ac:dyDescent="0.35">
      <c r="D38" s="500">
        <f>SUM(D31:D37)</f>
        <v>75525</v>
      </c>
      <c r="E38" s="492">
        <f>D38+F37</f>
        <v>79301.25</v>
      </c>
      <c r="F38" s="494"/>
    </row>
    <row r="39" spans="1:6" ht="14.4" thickBot="1" x14ac:dyDescent="0.35">
      <c r="D39" s="494"/>
      <c r="E39" s="494"/>
      <c r="F39" s="494"/>
    </row>
    <row r="40" spans="1:6" ht="14.4" thickBot="1" x14ac:dyDescent="0.35">
      <c r="A40" s="501" t="s">
        <v>220</v>
      </c>
      <c r="B40" s="502"/>
      <c r="C40" s="502"/>
      <c r="D40" s="493">
        <v>20000</v>
      </c>
      <c r="E40" s="492" t="s">
        <v>530</v>
      </c>
      <c r="F40" s="492">
        <f>10%*20000</f>
        <v>2000</v>
      </c>
    </row>
    <row r="41" spans="1:6" ht="14.4" thickBot="1" x14ac:dyDescent="0.35">
      <c r="A41" s="503"/>
      <c r="D41" s="494"/>
      <c r="E41" s="492">
        <v>22000</v>
      </c>
      <c r="F41" s="494"/>
    </row>
    <row r="42" spans="1:6" x14ac:dyDescent="0.3">
      <c r="A42" s="504" t="s">
        <v>217</v>
      </c>
      <c r="B42" s="496" t="s">
        <v>561</v>
      </c>
      <c r="C42" s="496" t="s">
        <v>562</v>
      </c>
      <c r="D42" s="497">
        <v>10000</v>
      </c>
      <c r="F42" s="494"/>
    </row>
    <row r="43" spans="1:6" x14ac:dyDescent="0.3">
      <c r="A43" s="505"/>
      <c r="B43" s="499" t="s">
        <v>563</v>
      </c>
      <c r="C43" s="499" t="s">
        <v>564</v>
      </c>
      <c r="D43" s="517">
        <v>11520</v>
      </c>
      <c r="F43" s="494"/>
    </row>
    <row r="44" spans="1:6" x14ac:dyDescent="0.3">
      <c r="A44" s="505"/>
      <c r="B44" s="499" t="s">
        <v>565</v>
      </c>
      <c r="C44" s="499" t="s">
        <v>566</v>
      </c>
      <c r="D44" s="517">
        <v>6300</v>
      </c>
      <c r="F44" s="494"/>
    </row>
    <row r="45" spans="1:6" x14ac:dyDescent="0.3">
      <c r="A45" s="505"/>
      <c r="B45" s="499" t="s">
        <v>567</v>
      </c>
      <c r="C45" s="499" t="s">
        <v>568</v>
      </c>
      <c r="D45" s="517">
        <v>6000</v>
      </c>
      <c r="F45" s="494"/>
    </row>
    <row r="46" spans="1:6" ht="14.4" thickBot="1" x14ac:dyDescent="0.35">
      <c r="A46" s="506"/>
      <c r="B46" s="490" t="s">
        <v>569</v>
      </c>
      <c r="C46" s="490" t="s">
        <v>570</v>
      </c>
      <c r="D46" s="516">
        <v>3600</v>
      </c>
      <c r="E46" s="492" t="s">
        <v>571</v>
      </c>
      <c r="F46" s="492">
        <f>5%*D47</f>
        <v>1871</v>
      </c>
    </row>
    <row r="47" spans="1:6" ht="14.4" thickBot="1" x14ac:dyDescent="0.35">
      <c r="A47" s="503"/>
      <c r="D47" s="500">
        <f>SUM(D42:D46)</f>
        <v>37420</v>
      </c>
      <c r="E47" s="492">
        <f>D47+F46</f>
        <v>39291</v>
      </c>
      <c r="F47" s="494"/>
    </row>
    <row r="48" spans="1:6" ht="14.4" thickBot="1" x14ac:dyDescent="0.35">
      <c r="A48" s="503"/>
      <c r="D48" s="494"/>
      <c r="F48" s="494"/>
    </row>
    <row r="49" spans="1:6" x14ac:dyDescent="0.3">
      <c r="A49" s="504" t="s">
        <v>221</v>
      </c>
      <c r="B49" s="507" t="s">
        <v>705</v>
      </c>
      <c r="C49" s="496" t="s">
        <v>572</v>
      </c>
      <c r="D49" s="497">
        <v>68000</v>
      </c>
      <c r="E49" s="494"/>
    </row>
    <row r="50" spans="1:6" ht="14.4" thickBot="1" x14ac:dyDescent="0.35">
      <c r="A50" s="506"/>
      <c r="B50" s="490" t="s">
        <v>573</v>
      </c>
      <c r="C50" s="490" t="s">
        <v>574</v>
      </c>
      <c r="D50" s="491">
        <v>6400</v>
      </c>
      <c r="E50" s="492" t="s">
        <v>530</v>
      </c>
      <c r="F50" s="492">
        <f>10%*D51</f>
        <v>7440</v>
      </c>
    </row>
    <row r="51" spans="1:6" ht="14.4" thickBot="1" x14ac:dyDescent="0.35">
      <c r="A51" s="503"/>
      <c r="D51" s="493">
        <f>SUM(D49:D50)</f>
        <v>74400</v>
      </c>
      <c r="E51" s="492">
        <f>D51+F50</f>
        <v>81840</v>
      </c>
      <c r="F51" s="494"/>
    </row>
    <row r="52" spans="1:6" ht="14.4" thickBot="1" x14ac:dyDescent="0.35">
      <c r="A52" s="503"/>
      <c r="D52" s="494"/>
      <c r="F52" s="494"/>
    </row>
    <row r="53" spans="1:6" x14ac:dyDescent="0.3">
      <c r="A53" s="495" t="s">
        <v>311</v>
      </c>
      <c r="B53" s="508"/>
      <c r="C53" s="496" t="s">
        <v>575</v>
      </c>
      <c r="D53" s="497">
        <v>8500</v>
      </c>
      <c r="F53" s="494"/>
    </row>
    <row r="54" spans="1:6" x14ac:dyDescent="0.3">
      <c r="A54" s="498"/>
      <c r="B54" s="499" t="s">
        <v>576</v>
      </c>
      <c r="C54" s="499" t="s">
        <v>577</v>
      </c>
      <c r="D54" s="517">
        <v>15000</v>
      </c>
    </row>
    <row r="55" spans="1:6" x14ac:dyDescent="0.3">
      <c r="A55" s="498"/>
      <c r="B55" s="499" t="s">
        <v>578</v>
      </c>
      <c r="C55" s="499" t="s">
        <v>579</v>
      </c>
      <c r="D55" s="517">
        <v>975</v>
      </c>
    </row>
    <row r="56" spans="1:6" x14ac:dyDescent="0.3">
      <c r="A56" s="498"/>
      <c r="B56" s="509" t="s">
        <v>706</v>
      </c>
      <c r="C56" s="499" t="s">
        <v>580</v>
      </c>
      <c r="D56" s="517">
        <v>1680</v>
      </c>
    </row>
    <row r="57" spans="1:6" ht="14.4" thickBot="1" x14ac:dyDescent="0.35">
      <c r="A57" s="489"/>
      <c r="B57" s="490" t="s">
        <v>581</v>
      </c>
      <c r="C57" s="490" t="s">
        <v>582</v>
      </c>
      <c r="D57" s="516">
        <v>9490</v>
      </c>
      <c r="E57" s="492" t="s">
        <v>546</v>
      </c>
      <c r="F57" s="492">
        <f>5%*D58</f>
        <v>1782.25</v>
      </c>
    </row>
    <row r="58" spans="1:6" ht="14.4" thickBot="1" x14ac:dyDescent="0.35">
      <c r="D58" s="500">
        <f>SUM(D53:D57)</f>
        <v>35645</v>
      </c>
      <c r="E58" s="492">
        <f>D58+F57</f>
        <v>37427.25</v>
      </c>
    </row>
    <row r="59" spans="1:6" ht="14.4" thickBot="1" x14ac:dyDescent="0.35">
      <c r="D59" s="494"/>
    </row>
    <row r="60" spans="1:6" ht="14.4" thickBot="1" x14ac:dyDescent="0.35">
      <c r="A60" s="501" t="s">
        <v>583</v>
      </c>
      <c r="B60" s="502" t="s">
        <v>707</v>
      </c>
      <c r="C60" s="502" t="s">
        <v>314</v>
      </c>
      <c r="D60" s="493">
        <v>36000</v>
      </c>
      <c r="E60" s="492" t="s">
        <v>546</v>
      </c>
      <c r="F60" s="492">
        <f>5%*D60</f>
        <v>1800</v>
      </c>
    </row>
    <row r="61" spans="1:6" x14ac:dyDescent="0.3">
      <c r="D61" s="494"/>
      <c r="E61" s="492">
        <f>D60+F60</f>
        <v>37800</v>
      </c>
      <c r="F61" s="494"/>
    </row>
    <row r="62" spans="1:6" ht="14.4" thickBot="1" x14ac:dyDescent="0.35">
      <c r="D62" s="494"/>
      <c r="E62" s="494"/>
      <c r="F62" s="494"/>
    </row>
    <row r="63" spans="1:6" x14ac:dyDescent="0.3">
      <c r="A63" s="495" t="s">
        <v>315</v>
      </c>
      <c r="B63" s="496" t="s">
        <v>708</v>
      </c>
      <c r="C63" s="496" t="s">
        <v>584</v>
      </c>
      <c r="D63" s="497">
        <v>55000</v>
      </c>
      <c r="F63" s="494"/>
    </row>
    <row r="64" spans="1:6" x14ac:dyDescent="0.3">
      <c r="A64" s="510"/>
      <c r="B64" s="499"/>
      <c r="C64" s="499" t="s">
        <v>585</v>
      </c>
      <c r="D64" s="517">
        <v>5000</v>
      </c>
      <c r="F64" s="494"/>
    </row>
    <row r="65" spans="1:6" x14ac:dyDescent="0.3">
      <c r="A65" s="510"/>
      <c r="B65" s="499"/>
      <c r="C65" s="499" t="s">
        <v>586</v>
      </c>
      <c r="D65" s="517">
        <v>5000</v>
      </c>
      <c r="F65" s="494"/>
    </row>
    <row r="66" spans="1:6" ht="14.4" thickBot="1" x14ac:dyDescent="0.35">
      <c r="A66" s="511"/>
      <c r="B66" s="490"/>
      <c r="C66" s="490" t="s">
        <v>587</v>
      </c>
      <c r="D66" s="516">
        <v>3000</v>
      </c>
      <c r="E66" s="492" t="s">
        <v>546</v>
      </c>
      <c r="F66" s="492">
        <f>5%*D67</f>
        <v>3400</v>
      </c>
    </row>
    <row r="67" spans="1:6" ht="14.4" thickBot="1" x14ac:dyDescent="0.35">
      <c r="A67" s="512"/>
      <c r="D67" s="500">
        <f>SUM(D63:D66)</f>
        <v>68000</v>
      </c>
      <c r="E67" s="492">
        <f>D67+F66</f>
        <v>71400</v>
      </c>
      <c r="F67" s="494"/>
    </row>
    <row r="68" spans="1:6" ht="14.4" thickBot="1" x14ac:dyDescent="0.35">
      <c r="A68" s="512"/>
      <c r="D68" s="494"/>
      <c r="F68" s="494"/>
    </row>
    <row r="69" spans="1:6" x14ac:dyDescent="0.3">
      <c r="A69" s="513" t="s">
        <v>222</v>
      </c>
      <c r="B69" s="496" t="s">
        <v>588</v>
      </c>
      <c r="C69" s="496" t="s">
        <v>589</v>
      </c>
      <c r="D69" s="497">
        <v>18295</v>
      </c>
      <c r="F69" s="494"/>
    </row>
    <row r="70" spans="1:6" x14ac:dyDescent="0.3">
      <c r="A70" s="510"/>
      <c r="B70" s="499" t="s">
        <v>590</v>
      </c>
      <c r="C70" s="499" t="s">
        <v>591</v>
      </c>
      <c r="D70" s="517">
        <v>6900</v>
      </c>
      <c r="F70" s="494"/>
    </row>
    <row r="71" spans="1:6" ht="14.4" thickBot="1" x14ac:dyDescent="0.35">
      <c r="A71" s="511"/>
      <c r="B71" s="490" t="s">
        <v>709</v>
      </c>
      <c r="C71" s="490" t="s">
        <v>592</v>
      </c>
      <c r="D71" s="516">
        <v>14995</v>
      </c>
      <c r="E71" s="492" t="s">
        <v>546</v>
      </c>
      <c r="F71" s="492">
        <f>5%*D72</f>
        <v>2009.5</v>
      </c>
    </row>
    <row r="72" spans="1:6" ht="14.4" thickBot="1" x14ac:dyDescent="0.35">
      <c r="A72" s="512"/>
      <c r="D72" s="500">
        <f>SUM(D69:D71)</f>
        <v>40190</v>
      </c>
      <c r="E72" s="492">
        <f>D72+F71</f>
        <v>42199.5</v>
      </c>
      <c r="F72" s="494"/>
    </row>
    <row r="73" spans="1:6" x14ac:dyDescent="0.3">
      <c r="A73" s="503"/>
      <c r="D73" s="494"/>
      <c r="E73" s="494"/>
      <c r="F73" s="494"/>
    </row>
    <row r="74" spans="1:6" ht="14.4" thickBot="1" x14ac:dyDescent="0.35"/>
    <row r="75" spans="1:6" x14ac:dyDescent="0.3">
      <c r="A75" s="495" t="s">
        <v>593</v>
      </c>
      <c r="B75" s="496" t="s">
        <v>594</v>
      </c>
      <c r="C75" s="496" t="s">
        <v>595</v>
      </c>
      <c r="D75" s="497">
        <v>10755.2</v>
      </c>
    </row>
    <row r="76" spans="1:6" ht="14.4" thickBot="1" x14ac:dyDescent="0.35">
      <c r="A76" s="489"/>
      <c r="B76" s="490" t="s">
        <v>596</v>
      </c>
      <c r="C76" s="490" t="s">
        <v>597</v>
      </c>
      <c r="D76" s="516">
        <v>6430</v>
      </c>
      <c r="E76" s="492" t="s">
        <v>546</v>
      </c>
      <c r="F76" s="492">
        <f>5%*D77</f>
        <v>859.2600000000001</v>
      </c>
    </row>
    <row r="77" spans="1:6" ht="14.4" thickBot="1" x14ac:dyDescent="0.35">
      <c r="D77" s="493">
        <f>SUM(D75:D76)</f>
        <v>17185.2</v>
      </c>
      <c r="E77" s="492">
        <f>D77+F76</f>
        <v>18044.46</v>
      </c>
    </row>
  </sheetData>
  <pageMargins left="0.7" right="0.7" top="0.75" bottom="0.75" header="0.3" footer="0.3"/>
  <pageSetup scale="83" orientation="landscape" r:id="rId1"/>
  <rowBreaks count="1" manualBreakCount="1">
    <brk id="38"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view="pageBreakPreview" zoomScaleNormal="100" zoomScaleSheetLayoutView="100" workbookViewId="0"/>
  </sheetViews>
  <sheetFormatPr defaultRowHeight="13.8" x14ac:dyDescent="0.3"/>
  <cols>
    <col min="1" max="1" width="25" customWidth="1"/>
    <col min="2" max="2" width="22.109375" customWidth="1"/>
    <col min="3" max="4" width="9.44140625" style="4" bestFit="1" customWidth="1"/>
    <col min="5" max="5" width="9.88671875" style="4" bestFit="1" customWidth="1"/>
    <col min="6" max="8" width="9.44140625" style="4" bestFit="1" customWidth="1"/>
    <col min="9" max="9" width="12.6640625" customWidth="1"/>
    <col min="10" max="10" width="12.44140625" customWidth="1"/>
  </cols>
  <sheetData>
    <row r="1" spans="1:10" ht="20.25" customHeight="1" x14ac:dyDescent="0.3">
      <c r="A1" s="320" t="s">
        <v>716</v>
      </c>
      <c r="I1" s="247"/>
      <c r="J1" s="248"/>
    </row>
    <row r="2" spans="1:10" x14ac:dyDescent="0.3">
      <c r="A2" s="320" t="s">
        <v>267</v>
      </c>
    </row>
    <row r="3" spans="1:10" x14ac:dyDescent="0.3">
      <c r="A3" s="320" t="s">
        <v>268</v>
      </c>
    </row>
    <row r="4" spans="1:10" s="24" customFormat="1" x14ac:dyDescent="0.3">
      <c r="A4" s="327" t="s">
        <v>269</v>
      </c>
      <c r="C4" s="43"/>
      <c r="D4" s="43"/>
      <c r="E4" s="43"/>
      <c r="F4" s="43"/>
      <c r="G4" s="43"/>
      <c r="H4" s="43"/>
      <c r="I4" s="623" t="s">
        <v>412</v>
      </c>
      <c r="J4" s="624"/>
    </row>
    <row r="5" spans="1:10" s="24" customFormat="1" x14ac:dyDescent="0.3">
      <c r="A5" s="21" t="s">
        <v>3</v>
      </c>
      <c r="B5" s="21" t="s">
        <v>4</v>
      </c>
      <c r="C5" s="22">
        <v>2021</v>
      </c>
      <c r="D5" s="22">
        <f>C5+1</f>
        <v>2022</v>
      </c>
      <c r="E5" s="22">
        <f>D5+1</f>
        <v>2023</v>
      </c>
      <c r="F5" s="22">
        <f>E5+1</f>
        <v>2024</v>
      </c>
      <c r="G5" s="22">
        <f>F5+1</f>
        <v>2025</v>
      </c>
      <c r="H5" s="22">
        <f>G5+1</f>
        <v>2026</v>
      </c>
      <c r="I5" s="21" t="s">
        <v>3</v>
      </c>
      <c r="J5" s="21" t="s">
        <v>2</v>
      </c>
    </row>
    <row r="6" spans="1:10" ht="19.5" customHeight="1" x14ac:dyDescent="0.3">
      <c r="A6" s="77" t="s">
        <v>13</v>
      </c>
      <c r="B6" s="2" t="s">
        <v>12</v>
      </c>
      <c r="C6" s="17">
        <v>5000</v>
      </c>
      <c r="D6" s="19"/>
      <c r="E6" s="17"/>
      <c r="F6" s="17"/>
      <c r="G6" s="17"/>
      <c r="H6" s="17"/>
      <c r="I6" s="42"/>
      <c r="J6" s="42"/>
    </row>
    <row r="7" spans="1:10" s="13" customFormat="1" ht="18" x14ac:dyDescent="0.35">
      <c r="A7" s="78" t="s">
        <v>11</v>
      </c>
      <c r="B7" s="20" t="s">
        <v>10</v>
      </c>
      <c r="C7" s="18"/>
      <c r="D7" s="19">
        <v>15000</v>
      </c>
      <c r="E7" s="18"/>
      <c r="F7" s="17"/>
      <c r="G7" s="17"/>
      <c r="H7" s="17"/>
      <c r="I7" s="17"/>
      <c r="J7" s="31"/>
    </row>
    <row r="8" spans="1:10" s="13" customFormat="1" ht="18.75" customHeight="1" x14ac:dyDescent="0.35">
      <c r="A8" s="77" t="s">
        <v>202</v>
      </c>
      <c r="B8" s="179"/>
      <c r="C8" s="179"/>
      <c r="D8" s="179"/>
      <c r="E8" s="179">
        <v>15000</v>
      </c>
      <c r="G8" s="179"/>
      <c r="H8" s="179"/>
      <c r="I8" s="179"/>
      <c r="J8" s="186"/>
    </row>
    <row r="9" spans="1:10" s="13" customFormat="1" ht="18.75" customHeight="1" x14ac:dyDescent="0.35">
      <c r="A9" s="77" t="s">
        <v>519</v>
      </c>
      <c r="B9" s="179"/>
      <c r="C9" s="179"/>
      <c r="D9" s="179"/>
      <c r="E9" s="179">
        <v>5000</v>
      </c>
      <c r="F9" s="179"/>
      <c r="G9" s="179"/>
      <c r="H9" s="179"/>
      <c r="I9" s="179"/>
      <c r="J9" s="186"/>
    </row>
    <row r="10" spans="1:10" s="13" customFormat="1" ht="18" x14ac:dyDescent="0.35">
      <c r="A10" s="77" t="s">
        <v>204</v>
      </c>
      <c r="B10" s="294"/>
      <c r="C10" s="179"/>
      <c r="D10" s="179"/>
      <c r="E10" s="179"/>
      <c r="F10" s="179"/>
      <c r="G10" s="179"/>
      <c r="H10" s="672" t="s">
        <v>322</v>
      </c>
      <c r="I10" s="673"/>
      <c r="J10" s="31"/>
    </row>
    <row r="11" spans="1:10" s="13" customFormat="1" ht="18" x14ac:dyDescent="0.35">
      <c r="A11" s="475" t="s">
        <v>518</v>
      </c>
      <c r="B11" s="60"/>
      <c r="C11" s="473"/>
      <c r="D11" s="474"/>
      <c r="E11" s="474"/>
      <c r="F11" s="474"/>
      <c r="G11" s="474"/>
      <c r="H11" s="674"/>
      <c r="I11" s="675"/>
      <c r="J11" s="472"/>
    </row>
    <row r="12" spans="1:10" s="13" customFormat="1" ht="18" x14ac:dyDescent="0.35">
      <c r="A12" s="77"/>
      <c r="B12" s="294"/>
      <c r="C12" s="18"/>
      <c r="D12" s="19"/>
      <c r="E12" s="18"/>
      <c r="F12" s="17"/>
      <c r="G12" s="17"/>
      <c r="H12" s="17"/>
      <c r="I12" s="17"/>
      <c r="J12" s="31"/>
    </row>
    <row r="13" spans="1:10" s="13" customFormat="1" ht="18" x14ac:dyDescent="0.35">
      <c r="A13" s="78"/>
      <c r="B13" s="20"/>
      <c r="C13" s="18"/>
      <c r="D13" s="19"/>
      <c r="E13" s="18"/>
      <c r="F13" s="17"/>
      <c r="G13" s="17"/>
      <c r="H13" s="17"/>
      <c r="I13" s="17"/>
      <c r="J13" s="31"/>
    </row>
    <row r="14" spans="1:10" s="13" customFormat="1" ht="18" x14ac:dyDescent="0.35">
      <c r="A14" s="78"/>
      <c r="B14" s="20"/>
      <c r="C14" s="18"/>
      <c r="D14" s="19"/>
      <c r="E14" s="18"/>
      <c r="F14" s="17"/>
      <c r="G14" s="17"/>
      <c r="H14" s="17"/>
      <c r="I14" s="41" t="s">
        <v>9</v>
      </c>
      <c r="J14" s="31"/>
    </row>
    <row r="15" spans="1:10" ht="28.5" customHeight="1" thickBot="1" x14ac:dyDescent="0.35">
      <c r="A15" s="12"/>
      <c r="B15" s="11" t="s">
        <v>0</v>
      </c>
      <c r="C15" s="40">
        <f t="shared" ref="C15:H15" si="0">SUM(C6:C14)</f>
        <v>5000</v>
      </c>
      <c r="D15" s="40">
        <f t="shared" si="0"/>
        <v>15000</v>
      </c>
      <c r="E15" s="40">
        <f t="shared" si="0"/>
        <v>20000</v>
      </c>
      <c r="F15" s="40">
        <f t="shared" si="0"/>
        <v>0</v>
      </c>
      <c r="G15" s="40">
        <f t="shared" si="0"/>
        <v>0</v>
      </c>
      <c r="H15" s="40">
        <f t="shared" si="0"/>
        <v>0</v>
      </c>
      <c r="I15" s="38">
        <f>SUM(C15:H15)</f>
        <v>40000</v>
      </c>
      <c r="J15" s="38">
        <f>SUM(J6:J14)</f>
        <v>0</v>
      </c>
    </row>
    <row r="16" spans="1:10" ht="14.4" thickTop="1" x14ac:dyDescent="0.3">
      <c r="A16" s="37"/>
      <c r="B16" s="37"/>
      <c r="I16" s="102"/>
    </row>
    <row r="17" spans="1:9" x14ac:dyDescent="0.3">
      <c r="A17" s="65" t="s">
        <v>39</v>
      </c>
      <c r="B17" s="37"/>
      <c r="I17" s="102"/>
    </row>
    <row r="18" spans="1:9" x14ac:dyDescent="0.3">
      <c r="A18" s="36"/>
    </row>
    <row r="19" spans="1:9" x14ac:dyDescent="0.3">
      <c r="B19" s="324" t="s">
        <v>411</v>
      </c>
      <c r="C19" s="35">
        <v>3000</v>
      </c>
      <c r="G19" s="36"/>
      <c r="H19" s="36"/>
    </row>
    <row r="21" spans="1:9" x14ac:dyDescent="0.3">
      <c r="B21" s="319" t="s">
        <v>660</v>
      </c>
      <c r="C21" s="4">
        <v>21000</v>
      </c>
      <c r="D21" s="4">
        <f>C25</f>
        <v>19000</v>
      </c>
      <c r="E21" s="4">
        <f t="shared" ref="E21:H21" si="1">D25</f>
        <v>7000</v>
      </c>
      <c r="F21" s="4">
        <f t="shared" si="1"/>
        <v>10000</v>
      </c>
      <c r="G21" s="4">
        <f t="shared" si="1"/>
        <v>13000</v>
      </c>
      <c r="H21" s="4">
        <f t="shared" si="1"/>
        <v>16000</v>
      </c>
    </row>
    <row r="22" spans="1:9" x14ac:dyDescent="0.3">
      <c r="B22" s="65" t="s">
        <v>281</v>
      </c>
      <c r="C22" s="180">
        <v>3000</v>
      </c>
      <c r="D22" s="180">
        <f>C22</f>
        <v>3000</v>
      </c>
      <c r="E22" s="180">
        <f t="shared" ref="E22:H22" si="2">D22</f>
        <v>3000</v>
      </c>
      <c r="F22" s="180">
        <f t="shared" si="2"/>
        <v>3000</v>
      </c>
      <c r="G22" s="180">
        <f t="shared" si="2"/>
        <v>3000</v>
      </c>
      <c r="H22" s="180">
        <f t="shared" si="2"/>
        <v>3000</v>
      </c>
    </row>
    <row r="23" spans="1:9" s="176" customFormat="1" x14ac:dyDescent="0.3">
      <c r="B23" s="65" t="s">
        <v>203</v>
      </c>
      <c r="C23" s="180">
        <v>0</v>
      </c>
      <c r="D23" s="239">
        <v>0</v>
      </c>
      <c r="E23" s="239">
        <v>0</v>
      </c>
      <c r="F23" s="239">
        <v>0</v>
      </c>
      <c r="G23" s="180">
        <v>0</v>
      </c>
      <c r="H23" s="180">
        <v>0</v>
      </c>
    </row>
    <row r="24" spans="1:9" ht="15.6" x14ac:dyDescent="0.45">
      <c r="B24" s="65" t="s">
        <v>36</v>
      </c>
      <c r="C24" s="56">
        <f>-C15</f>
        <v>-5000</v>
      </c>
      <c r="D24" s="56">
        <f>-D15</f>
        <v>-15000</v>
      </c>
      <c r="E24" s="56">
        <v>0</v>
      </c>
      <c r="F24" s="56">
        <f>-F15</f>
        <v>0</v>
      </c>
      <c r="G24" s="56">
        <f>-G15</f>
        <v>0</v>
      </c>
      <c r="H24" s="56">
        <f>-H15</f>
        <v>0</v>
      </c>
    </row>
    <row r="25" spans="1:9" ht="15.6" x14ac:dyDescent="0.45">
      <c r="B25" s="79" t="s">
        <v>37</v>
      </c>
      <c r="C25" s="63">
        <f>SUM(C21:C24)</f>
        <v>19000</v>
      </c>
      <c r="D25" s="63">
        <f t="shared" ref="D25:H25" si="3">SUM(D21:D24)</f>
        <v>7000</v>
      </c>
      <c r="E25" s="64">
        <f t="shared" si="3"/>
        <v>10000</v>
      </c>
      <c r="F25" s="63">
        <f t="shared" si="3"/>
        <v>13000</v>
      </c>
      <c r="G25" s="63">
        <f t="shared" si="3"/>
        <v>16000</v>
      </c>
      <c r="H25" s="63">
        <f t="shared" si="3"/>
        <v>19000</v>
      </c>
    </row>
  </sheetData>
  <mergeCells count="2">
    <mergeCell ref="I4:J4"/>
    <mergeCell ref="H10:I11"/>
  </mergeCells>
  <pageMargins left="0.7" right="0.7" top="0.75" bottom="0.75" header="0.3" footer="0.3"/>
  <pageSetup orientation="landscape" r:id="rId1"/>
  <headerFooter>
    <oddHeader>&amp;C&amp;"-,Bold"&amp;12CIP DEPARTMENT INFORMATION REQUEST FORM
DEPARTMENT:   MT. CAESAR UNION LIBRARY</oddHeader>
    <oddFooter>&amp;L&amp;A&amp;RPage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view="pageBreakPreview" zoomScaleNormal="100" zoomScaleSheetLayoutView="100" workbookViewId="0"/>
  </sheetViews>
  <sheetFormatPr defaultRowHeight="13.8" x14ac:dyDescent="0.3"/>
  <cols>
    <col min="1" max="1" width="25" customWidth="1"/>
    <col min="2" max="2" width="24.109375" customWidth="1"/>
    <col min="3" max="4" width="9.44140625" style="4" bestFit="1" customWidth="1"/>
    <col min="5" max="5" width="9.88671875" style="4" bestFit="1" customWidth="1"/>
    <col min="6" max="8" width="9.44140625" style="4" bestFit="1" customWidth="1"/>
    <col min="9" max="9" width="13.88671875" customWidth="1"/>
    <col min="10" max="10" width="14.109375" customWidth="1"/>
  </cols>
  <sheetData>
    <row r="1" spans="1:15" ht="20.25" customHeight="1" x14ac:dyDescent="0.3">
      <c r="A1" s="252" t="s">
        <v>716</v>
      </c>
      <c r="I1" s="247"/>
      <c r="J1" s="248"/>
    </row>
    <row r="2" spans="1:15" x14ac:dyDescent="0.3">
      <c r="A2" s="252" t="s">
        <v>267</v>
      </c>
    </row>
    <row r="3" spans="1:15" x14ac:dyDescent="0.3">
      <c r="A3" s="252" t="s">
        <v>268</v>
      </c>
    </row>
    <row r="4" spans="1:15" s="24" customFormat="1" x14ac:dyDescent="0.3">
      <c r="A4" s="264" t="s">
        <v>269</v>
      </c>
      <c r="C4" s="43"/>
      <c r="D4" s="43"/>
      <c r="E4" s="43"/>
      <c r="F4" s="43"/>
      <c r="G4" s="43"/>
      <c r="H4" s="43"/>
      <c r="I4" s="623" t="s">
        <v>412</v>
      </c>
      <c r="J4" s="624"/>
    </row>
    <row r="5" spans="1:15" s="24" customFormat="1" x14ac:dyDescent="0.3">
      <c r="A5" s="21" t="s">
        <v>3</v>
      </c>
      <c r="B5" s="21" t="s">
        <v>4</v>
      </c>
      <c r="C5" s="22">
        <v>2021</v>
      </c>
      <c r="D5" s="22">
        <f>C5+1</f>
        <v>2022</v>
      </c>
      <c r="E5" s="22">
        <f>D5+1</f>
        <v>2023</v>
      </c>
      <c r="F5" s="22">
        <f>E5+1</f>
        <v>2024</v>
      </c>
      <c r="G5" s="22">
        <f>F5+1</f>
        <v>2025</v>
      </c>
      <c r="H5" s="22">
        <f>G5+1</f>
        <v>2026</v>
      </c>
      <c r="I5" s="21" t="s">
        <v>3</v>
      </c>
      <c r="J5" s="21" t="s">
        <v>2</v>
      </c>
    </row>
    <row r="6" spans="1:15" s="319" customFormat="1" ht="18.75" customHeight="1" x14ac:dyDescent="0.3">
      <c r="A6" s="572" t="s">
        <v>687</v>
      </c>
      <c r="B6" s="282"/>
      <c r="C6" s="566">
        <v>1000</v>
      </c>
      <c r="D6" s="567"/>
      <c r="E6" s="568"/>
      <c r="F6" s="463"/>
      <c r="G6" s="463"/>
      <c r="H6" s="463"/>
      <c r="I6" s="569"/>
      <c r="J6" s="569"/>
    </row>
    <row r="7" spans="1:15" s="319" customFormat="1" ht="18" customHeight="1" x14ac:dyDescent="0.3">
      <c r="A7" s="572" t="s">
        <v>689</v>
      </c>
      <c r="B7" s="282"/>
      <c r="C7" s="566">
        <v>1000</v>
      </c>
      <c r="D7" s="567"/>
      <c r="E7" s="568"/>
      <c r="F7" s="463"/>
      <c r="G7" s="463"/>
      <c r="H7" s="463"/>
      <c r="I7" s="569"/>
      <c r="J7" s="569"/>
    </row>
    <row r="8" spans="1:15" s="319" customFormat="1" ht="17.25" customHeight="1" x14ac:dyDescent="0.3">
      <c r="A8" s="572" t="s">
        <v>688</v>
      </c>
      <c r="B8" s="282"/>
      <c r="C8" s="566">
        <v>3100</v>
      </c>
      <c r="D8" s="567"/>
      <c r="E8" s="568"/>
      <c r="F8" s="463"/>
      <c r="G8" s="463"/>
      <c r="H8" s="463"/>
      <c r="I8" s="569"/>
      <c r="J8" s="569"/>
    </row>
    <row r="9" spans="1:15" s="13" customFormat="1" ht="33.75" customHeight="1" x14ac:dyDescent="0.35">
      <c r="A9" s="565" t="s">
        <v>691</v>
      </c>
      <c r="B9" s="282"/>
      <c r="C9" s="571">
        <v>5000</v>
      </c>
      <c r="D9" s="463"/>
      <c r="E9" s="236"/>
      <c r="F9" s="463"/>
      <c r="G9" s="463"/>
      <c r="H9" s="463"/>
      <c r="I9" s="463"/>
      <c r="J9" s="569"/>
    </row>
    <row r="10" spans="1:15" s="13" customFormat="1" ht="18" x14ac:dyDescent="0.35">
      <c r="A10" s="565" t="s">
        <v>690</v>
      </c>
      <c r="B10" s="20"/>
      <c r="C10" s="568">
        <v>2300</v>
      </c>
      <c r="D10" s="463"/>
      <c r="E10" s="236"/>
      <c r="F10" s="463"/>
      <c r="G10" s="463"/>
      <c r="H10" s="463"/>
      <c r="I10" s="463"/>
      <c r="J10" s="569"/>
    </row>
    <row r="11" spans="1:15" s="13" customFormat="1" ht="18" x14ac:dyDescent="0.35">
      <c r="A11" s="565"/>
      <c r="B11" s="20"/>
      <c r="C11" s="568"/>
      <c r="D11" s="567"/>
      <c r="E11" s="568"/>
      <c r="F11" s="568"/>
      <c r="G11" s="463"/>
      <c r="H11" s="463"/>
      <c r="I11" s="463"/>
      <c r="J11" s="569"/>
      <c r="M11" s="561" t="s">
        <v>679</v>
      </c>
      <c r="N11" s="562"/>
      <c r="O11" s="563"/>
    </row>
    <row r="12" spans="1:15" s="13" customFormat="1" ht="18" x14ac:dyDescent="0.35">
      <c r="A12" s="565"/>
      <c r="B12" s="20"/>
      <c r="C12" s="568"/>
      <c r="D12" s="567"/>
      <c r="E12" s="568"/>
      <c r="F12" s="463"/>
      <c r="G12" s="463"/>
      <c r="H12" s="463"/>
      <c r="I12" s="570" t="s">
        <v>9</v>
      </c>
      <c r="J12" s="569"/>
      <c r="M12" s="562"/>
      <c r="N12" s="562" t="s">
        <v>680</v>
      </c>
      <c r="O12" s="563"/>
    </row>
    <row r="13" spans="1:15" ht="28.5" customHeight="1" thickBot="1" x14ac:dyDescent="0.35">
      <c r="A13" s="12"/>
      <c r="B13" s="11" t="s">
        <v>0</v>
      </c>
      <c r="C13" s="40">
        <f t="shared" ref="C13:H13" si="0">SUM(C6:C12)</f>
        <v>12400</v>
      </c>
      <c r="D13" s="40">
        <f t="shared" si="0"/>
        <v>0</v>
      </c>
      <c r="E13" s="40">
        <f t="shared" si="0"/>
        <v>0</v>
      </c>
      <c r="F13" s="40">
        <f t="shared" si="0"/>
        <v>0</v>
      </c>
      <c r="G13" s="40">
        <f t="shared" si="0"/>
        <v>0</v>
      </c>
      <c r="H13" s="40">
        <f t="shared" si="0"/>
        <v>0</v>
      </c>
      <c r="I13" s="40">
        <f>SUM(C13:H13)</f>
        <v>12400</v>
      </c>
      <c r="J13" s="38">
        <f>SUM(J6:J12)</f>
        <v>0</v>
      </c>
      <c r="M13" s="563"/>
      <c r="N13" s="563" t="s">
        <v>681</v>
      </c>
      <c r="O13" s="564"/>
    </row>
    <row r="14" spans="1:15" ht="15" thickTop="1" x14ac:dyDescent="0.3">
      <c r="A14" s="37"/>
      <c r="B14" s="37"/>
      <c r="I14" s="4"/>
      <c r="M14" s="563"/>
      <c r="N14" s="563" t="s">
        <v>682</v>
      </c>
      <c r="O14" s="564"/>
    </row>
    <row r="15" spans="1:15" ht="14.4" x14ac:dyDescent="0.3">
      <c r="A15" s="37"/>
      <c r="B15" s="324" t="s">
        <v>411</v>
      </c>
      <c r="C15" s="179">
        <v>1000</v>
      </c>
      <c r="D15" s="180"/>
      <c r="E15" s="180"/>
      <c r="F15" s="176"/>
      <c r="G15" s="180"/>
      <c r="H15" s="180"/>
      <c r="I15" s="176"/>
      <c r="M15" s="563"/>
      <c r="N15" s="563" t="s">
        <v>683</v>
      </c>
      <c r="O15" s="564"/>
    </row>
    <row r="16" spans="1:15" ht="15.6" x14ac:dyDescent="0.3">
      <c r="A16" s="99"/>
      <c r="B16" s="176"/>
      <c r="C16" s="176"/>
      <c r="D16" s="176"/>
      <c r="E16" s="176"/>
      <c r="F16" s="176"/>
      <c r="G16" s="176"/>
      <c r="H16" s="176"/>
      <c r="I16" s="176"/>
      <c r="M16" s="563"/>
      <c r="N16" s="562" t="s">
        <v>684</v>
      </c>
      <c r="O16" s="563"/>
    </row>
    <row r="17" spans="1:15" ht="14.4" x14ac:dyDescent="0.3">
      <c r="A17" s="99"/>
      <c r="B17" s="319" t="s">
        <v>660</v>
      </c>
      <c r="C17" s="137">
        <v>12000</v>
      </c>
      <c r="D17" s="180">
        <f>C21</f>
        <v>1100</v>
      </c>
      <c r="E17" s="180">
        <f>D21</f>
        <v>2600</v>
      </c>
      <c r="F17" s="180">
        <f>E21</f>
        <v>4100</v>
      </c>
      <c r="G17" s="180">
        <f>F21</f>
        <v>5600</v>
      </c>
      <c r="H17" s="180">
        <f>G21</f>
        <v>7100</v>
      </c>
      <c r="I17" s="176"/>
      <c r="M17" s="563"/>
      <c r="N17" s="563" t="s">
        <v>685</v>
      </c>
      <c r="O17" s="564"/>
    </row>
    <row r="18" spans="1:15" ht="14.4" x14ac:dyDescent="0.3">
      <c r="B18" s="65" t="s">
        <v>153</v>
      </c>
      <c r="C18" s="137">
        <v>500</v>
      </c>
      <c r="D18" s="137">
        <f>C18</f>
        <v>500</v>
      </c>
      <c r="E18" s="137">
        <f t="shared" ref="E18:H18" si="1">D18</f>
        <v>500</v>
      </c>
      <c r="F18" s="137">
        <f t="shared" si="1"/>
        <v>500</v>
      </c>
      <c r="G18" s="137">
        <f t="shared" si="1"/>
        <v>500</v>
      </c>
      <c r="H18" s="137">
        <f t="shared" si="1"/>
        <v>500</v>
      </c>
      <c r="I18" s="176"/>
      <c r="M18" s="563"/>
      <c r="N18" s="563" t="s">
        <v>686</v>
      </c>
      <c r="O18" s="564"/>
    </row>
    <row r="19" spans="1:15" x14ac:dyDescent="0.3">
      <c r="B19" s="65" t="s">
        <v>281</v>
      </c>
      <c r="C19" s="46">
        <v>1000</v>
      </c>
      <c r="D19" s="46">
        <f>C19</f>
        <v>1000</v>
      </c>
      <c r="E19" s="46">
        <f>D19</f>
        <v>1000</v>
      </c>
      <c r="F19" s="46">
        <f>E19</f>
        <v>1000</v>
      </c>
      <c r="G19" s="46">
        <f>F19</f>
        <v>1000</v>
      </c>
      <c r="H19" s="46">
        <f>G19</f>
        <v>1000</v>
      </c>
      <c r="I19" s="176"/>
    </row>
    <row r="20" spans="1:15" ht="15.6" x14ac:dyDescent="0.45">
      <c r="B20" s="65" t="s">
        <v>15</v>
      </c>
      <c r="C20" s="66">
        <f t="shared" ref="C20:H20" si="2">-C13</f>
        <v>-12400</v>
      </c>
      <c r="D20" s="66">
        <f t="shared" si="2"/>
        <v>0</v>
      </c>
      <c r="E20" s="66">
        <f t="shared" si="2"/>
        <v>0</v>
      </c>
      <c r="F20" s="66">
        <f t="shared" si="2"/>
        <v>0</v>
      </c>
      <c r="G20" s="66">
        <f t="shared" si="2"/>
        <v>0</v>
      </c>
      <c r="H20" s="66">
        <f t="shared" si="2"/>
        <v>0</v>
      </c>
      <c r="I20" s="176"/>
    </row>
    <row r="21" spans="1:15" ht="15.6" x14ac:dyDescent="0.45">
      <c r="B21" s="82" t="s">
        <v>14</v>
      </c>
      <c r="C21" s="67">
        <f t="shared" ref="C21:H21" si="3">SUM(C17:C20)</f>
        <v>1100</v>
      </c>
      <c r="D21" s="67">
        <f t="shared" si="3"/>
        <v>2600</v>
      </c>
      <c r="E21" s="67">
        <f t="shared" si="3"/>
        <v>4100</v>
      </c>
      <c r="F21" s="67">
        <f t="shared" si="3"/>
        <v>5600</v>
      </c>
      <c r="G21" s="67">
        <f t="shared" si="3"/>
        <v>7100</v>
      </c>
      <c r="H21" s="67">
        <f t="shared" si="3"/>
        <v>8600</v>
      </c>
    </row>
    <row r="23" spans="1:15" x14ac:dyDescent="0.3">
      <c r="J23" s="4"/>
    </row>
    <row r="24" spans="1:15" x14ac:dyDescent="0.3">
      <c r="J24" s="4"/>
    </row>
  </sheetData>
  <mergeCells count="1">
    <mergeCell ref="I4:J4"/>
  </mergeCells>
  <pageMargins left="0.7" right="0.7" top="0.75" bottom="0.75" header="0.3" footer="0.3"/>
  <pageSetup orientation="landscape" r:id="rId1"/>
  <headerFooter>
    <oddHeader>&amp;C&amp;"-,Bold"&amp;12CIP DEPARTMENT INFORMATION REQUEST FORM
DEPARTMENT:   STRATTON FREE LIBRARY</oddHeader>
    <oddFooter>&amp;L&amp;A&amp;RPage &amp;P of &amp;N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view="pageBreakPreview" zoomScaleNormal="100" zoomScaleSheetLayoutView="100" workbookViewId="0"/>
  </sheetViews>
  <sheetFormatPr defaultRowHeight="13.8" x14ac:dyDescent="0.3"/>
  <cols>
    <col min="1" max="1" width="25" customWidth="1"/>
    <col min="2" max="2" width="22" customWidth="1"/>
    <col min="3" max="3" width="9.6640625" customWidth="1"/>
    <col min="4" max="4" width="10.109375" customWidth="1"/>
    <col min="7" max="7" width="10" bestFit="1" customWidth="1"/>
    <col min="9" max="9" width="17.6640625" customWidth="1"/>
    <col min="10" max="10" width="12.44140625" customWidth="1"/>
  </cols>
  <sheetData>
    <row r="1" spans="1:10" ht="20.25" customHeight="1" x14ac:dyDescent="0.3">
      <c r="A1" s="320" t="s">
        <v>716</v>
      </c>
      <c r="I1" s="247"/>
      <c r="J1" s="248"/>
    </row>
    <row r="2" spans="1:10" x14ac:dyDescent="0.3">
      <c r="A2" s="320" t="s">
        <v>267</v>
      </c>
    </row>
    <row r="3" spans="1:10" x14ac:dyDescent="0.3">
      <c r="A3" s="320" t="s">
        <v>268</v>
      </c>
    </row>
    <row r="4" spans="1:10" s="24" customFormat="1" x14ac:dyDescent="0.3">
      <c r="A4" s="327" t="s">
        <v>269</v>
      </c>
      <c r="I4" s="623" t="s">
        <v>412</v>
      </c>
      <c r="J4" s="624"/>
    </row>
    <row r="5" spans="1:10" s="24" customFormat="1" x14ac:dyDescent="0.3">
      <c r="A5" s="21" t="s">
        <v>3</v>
      </c>
      <c r="B5" s="21" t="s">
        <v>4</v>
      </c>
      <c r="C5" s="22">
        <v>2021</v>
      </c>
      <c r="D5" s="22">
        <f>C5+1</f>
        <v>2022</v>
      </c>
      <c r="E5" s="22">
        <f>D5+1</f>
        <v>2023</v>
      </c>
      <c r="F5" s="22">
        <f>E5+1</f>
        <v>2024</v>
      </c>
      <c r="G5" s="22">
        <f>F5+1</f>
        <v>2025</v>
      </c>
      <c r="H5" s="22">
        <f>G5+1</f>
        <v>2026</v>
      </c>
      <c r="I5" s="21" t="s">
        <v>3</v>
      </c>
      <c r="J5" s="21" t="s">
        <v>2</v>
      </c>
    </row>
    <row r="6" spans="1:10" ht="18" x14ac:dyDescent="0.35">
      <c r="A6" s="182"/>
      <c r="B6" s="182"/>
      <c r="C6" s="183"/>
      <c r="D6" s="184"/>
      <c r="E6" s="185"/>
      <c r="F6" s="186"/>
      <c r="G6" s="186"/>
      <c r="H6" s="186"/>
      <c r="I6" s="42"/>
      <c r="J6" s="42"/>
    </row>
    <row r="7" spans="1:10" s="178" customFormat="1" ht="18" x14ac:dyDescent="0.35">
      <c r="A7" s="182"/>
      <c r="B7" s="182"/>
      <c r="C7" s="188"/>
      <c r="D7" s="188"/>
      <c r="E7" s="188"/>
      <c r="F7" s="188"/>
      <c r="G7" s="188"/>
      <c r="H7" s="188"/>
      <c r="I7" s="174"/>
      <c r="J7" s="174"/>
    </row>
    <row r="8" spans="1:10" s="178" customFormat="1" ht="18" x14ac:dyDescent="0.35">
      <c r="A8" s="50"/>
      <c r="B8" s="23"/>
      <c r="C8" s="179"/>
      <c r="D8" s="177"/>
      <c r="E8" s="174"/>
      <c r="F8" s="175"/>
      <c r="G8" s="174"/>
      <c r="H8" s="174"/>
      <c r="I8" s="174"/>
      <c r="J8" s="174"/>
    </row>
    <row r="9" spans="1:10" s="13" customFormat="1" ht="18" x14ac:dyDescent="0.35">
      <c r="A9" s="42"/>
      <c r="B9" s="2"/>
      <c r="C9" s="100"/>
      <c r="D9" s="100"/>
      <c r="E9" s="100"/>
      <c r="F9" s="42"/>
      <c r="G9" s="42"/>
      <c r="H9" s="42"/>
      <c r="I9" s="41" t="s">
        <v>9</v>
      </c>
      <c r="J9" s="42"/>
    </row>
    <row r="10" spans="1:10" ht="28.5" customHeight="1" thickBot="1" x14ac:dyDescent="0.35">
      <c r="A10" s="12"/>
      <c r="B10" s="11" t="s">
        <v>0</v>
      </c>
      <c r="C10" s="10">
        <f>SUM(C6:C9)</f>
        <v>0</v>
      </c>
      <c r="D10" s="10">
        <f t="shared" ref="D10:H10" si="0">SUM(D6:D9)</f>
        <v>0</v>
      </c>
      <c r="E10" s="10">
        <f t="shared" si="0"/>
        <v>0</v>
      </c>
      <c r="F10" s="10">
        <f t="shared" si="0"/>
        <v>0</v>
      </c>
      <c r="G10" s="10">
        <f t="shared" si="0"/>
        <v>0</v>
      </c>
      <c r="H10" s="10">
        <f t="shared" si="0"/>
        <v>0</v>
      </c>
      <c r="I10" s="10">
        <f>SUM(C10:H10)</f>
        <v>0</v>
      </c>
      <c r="J10" s="30"/>
    </row>
    <row r="11" spans="1:10" ht="14.4" thickTop="1" x14ac:dyDescent="0.3"/>
    <row r="12" spans="1:10" x14ac:dyDescent="0.3">
      <c r="A12" s="102"/>
      <c r="B12" s="324" t="s">
        <v>411</v>
      </c>
      <c r="C12" s="35">
        <v>0</v>
      </c>
      <c r="D12" s="4"/>
      <c r="E12" s="4"/>
      <c r="F12" s="4"/>
      <c r="G12" s="36"/>
      <c r="H12" s="36"/>
    </row>
    <row r="13" spans="1:10" x14ac:dyDescent="0.3">
      <c r="A13" s="102"/>
      <c r="B13" s="102"/>
      <c r="C13" s="4"/>
      <c r="D13" s="4"/>
      <c r="E13" s="4"/>
      <c r="F13" s="4"/>
      <c r="G13" s="4"/>
      <c r="H13" s="4"/>
    </row>
    <row r="14" spans="1:10" x14ac:dyDescent="0.3">
      <c r="A14" s="102"/>
      <c r="B14" s="319" t="s">
        <v>660</v>
      </c>
      <c r="C14" s="4">
        <v>76000</v>
      </c>
      <c r="D14" s="4">
        <f>C19</f>
        <v>116000</v>
      </c>
      <c r="E14" s="4">
        <f t="shared" ref="E14:H14" si="1">D19</f>
        <v>156000</v>
      </c>
      <c r="F14" s="4">
        <f t="shared" si="1"/>
        <v>196000</v>
      </c>
      <c r="G14" s="4">
        <f t="shared" si="1"/>
        <v>236000</v>
      </c>
      <c r="H14" s="4">
        <f t="shared" si="1"/>
        <v>276000</v>
      </c>
    </row>
    <row r="15" spans="1:10" x14ac:dyDescent="0.3">
      <c r="A15" s="102"/>
      <c r="B15" s="65" t="s">
        <v>141</v>
      </c>
      <c r="C15" s="4">
        <v>40000</v>
      </c>
      <c r="D15" s="4">
        <f>C15</f>
        <v>40000</v>
      </c>
      <c r="E15" s="4">
        <f t="shared" ref="E15:H17" si="2">D15</f>
        <v>40000</v>
      </c>
      <c r="F15" s="4">
        <f t="shared" si="2"/>
        <v>40000</v>
      </c>
      <c r="G15" s="4">
        <f t="shared" si="2"/>
        <v>40000</v>
      </c>
      <c r="H15" s="4">
        <f t="shared" si="2"/>
        <v>40000</v>
      </c>
      <c r="I15" t="s">
        <v>669</v>
      </c>
    </row>
    <row r="16" spans="1:10" s="102" customFormat="1" x14ac:dyDescent="0.3">
      <c r="B16" s="65" t="s">
        <v>281</v>
      </c>
      <c r="C16" s="123">
        <v>0</v>
      </c>
      <c r="D16" s="123">
        <v>0</v>
      </c>
      <c r="E16" s="4">
        <v>0</v>
      </c>
      <c r="F16" s="4">
        <v>0</v>
      </c>
      <c r="G16" s="4">
        <v>0</v>
      </c>
      <c r="H16" s="4">
        <v>0</v>
      </c>
      <c r="I16" s="103"/>
    </row>
    <row r="17" spans="1:8" s="102" customFormat="1" x14ac:dyDescent="0.3">
      <c r="B17" s="334" t="s">
        <v>16</v>
      </c>
      <c r="C17" s="4">
        <v>0</v>
      </c>
      <c r="D17" s="4">
        <v>0</v>
      </c>
      <c r="E17" s="4">
        <v>0</v>
      </c>
      <c r="F17" s="4">
        <f>E17</f>
        <v>0</v>
      </c>
      <c r="G17" s="4">
        <f t="shared" si="2"/>
        <v>0</v>
      </c>
      <c r="H17" s="4">
        <f t="shared" si="2"/>
        <v>0</v>
      </c>
    </row>
    <row r="18" spans="1:8" ht="15.6" x14ac:dyDescent="0.45">
      <c r="A18" s="102"/>
      <c r="B18" s="65" t="s">
        <v>36</v>
      </c>
      <c r="C18" s="56">
        <f t="shared" ref="C18:H18" si="3">-C10</f>
        <v>0</v>
      </c>
      <c r="D18" s="56">
        <f t="shared" si="3"/>
        <v>0</v>
      </c>
      <c r="E18" s="56">
        <f t="shared" si="3"/>
        <v>0</v>
      </c>
      <c r="F18" s="56">
        <f t="shared" si="3"/>
        <v>0</v>
      </c>
      <c r="G18" s="56">
        <f t="shared" si="3"/>
        <v>0</v>
      </c>
      <c r="H18" s="56">
        <f t="shared" si="3"/>
        <v>0</v>
      </c>
    </row>
    <row r="19" spans="1:8" ht="15.6" x14ac:dyDescent="0.45">
      <c r="A19" s="102"/>
      <c r="B19" s="79" t="s">
        <v>37</v>
      </c>
      <c r="C19" s="63">
        <f t="shared" ref="C19:H19" si="4">SUM(C14:C18)</f>
        <v>116000</v>
      </c>
      <c r="D19" s="63">
        <f t="shared" si="4"/>
        <v>156000</v>
      </c>
      <c r="E19" s="64">
        <f t="shared" si="4"/>
        <v>196000</v>
      </c>
      <c r="F19" s="63">
        <f t="shared" si="4"/>
        <v>236000</v>
      </c>
      <c r="G19" s="63">
        <f t="shared" si="4"/>
        <v>276000</v>
      </c>
      <c r="H19" s="63">
        <f t="shared" si="4"/>
        <v>316000</v>
      </c>
    </row>
    <row r="24" spans="1:8" x14ac:dyDescent="0.3">
      <c r="G24" s="103"/>
    </row>
    <row r="25" spans="1:8" x14ac:dyDescent="0.3">
      <c r="E25" t="s">
        <v>667</v>
      </c>
      <c r="G25" s="103">
        <v>4000</v>
      </c>
    </row>
    <row r="26" spans="1:8" x14ac:dyDescent="0.3">
      <c r="E26" t="s">
        <v>668</v>
      </c>
      <c r="G26" s="103">
        <f>26000*4/3</f>
        <v>34666.666666666664</v>
      </c>
    </row>
    <row r="27" spans="1:8" x14ac:dyDescent="0.3">
      <c r="G27" s="103"/>
    </row>
    <row r="28" spans="1:8" x14ac:dyDescent="0.3">
      <c r="G28" s="103"/>
    </row>
    <row r="29" spans="1:8" x14ac:dyDescent="0.3">
      <c r="G29" s="103"/>
    </row>
    <row r="30" spans="1:8" x14ac:dyDescent="0.3">
      <c r="G30" s="103"/>
    </row>
    <row r="31" spans="1:8" x14ac:dyDescent="0.3">
      <c r="G31" s="103"/>
    </row>
    <row r="32" spans="1:8" x14ac:dyDescent="0.3">
      <c r="G32" s="103"/>
    </row>
    <row r="33" spans="7:7" x14ac:dyDescent="0.3">
      <c r="G33" s="103"/>
    </row>
    <row r="34" spans="7:7" x14ac:dyDescent="0.3">
      <c r="G34" s="103"/>
    </row>
  </sheetData>
  <mergeCells count="1">
    <mergeCell ref="I4:J4"/>
  </mergeCells>
  <pageMargins left="0.7" right="0.7" top="0.75" bottom="0.75" header="0.3" footer="0.3"/>
  <pageSetup orientation="landscape" r:id="rId1"/>
  <headerFooter>
    <oddHeader>&amp;C&amp;"-,Bold"&amp;12CIP DEPARTMENT INFORMATION REQUEST FORM
DEPARTMENT: Carpenter Home</oddHeader>
    <oddFooter>&amp;L&amp;A&amp;RPage &amp;P of &amp;N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view="pageBreakPreview" zoomScaleNormal="100" zoomScaleSheetLayoutView="100" workbookViewId="0"/>
  </sheetViews>
  <sheetFormatPr defaultRowHeight="13.8" x14ac:dyDescent="0.3"/>
  <cols>
    <col min="1" max="1" width="25" customWidth="1"/>
    <col min="2" max="2" width="23.5546875" customWidth="1"/>
    <col min="3" max="3" width="12.44140625" style="4" customWidth="1"/>
    <col min="4" max="4" width="9.44140625" style="4" bestFit="1" customWidth="1"/>
    <col min="5" max="5" width="9.88671875" style="4" bestFit="1" customWidth="1"/>
    <col min="6" max="6" width="10.109375" style="4" customWidth="1"/>
    <col min="7" max="7" width="9.44140625" style="4" bestFit="1" customWidth="1"/>
    <col min="8" max="8" width="10.6640625" style="4" customWidth="1"/>
    <col min="9" max="9" width="12.44140625" customWidth="1"/>
    <col min="10" max="10" width="13" customWidth="1"/>
  </cols>
  <sheetData>
    <row r="1" spans="1:10" ht="20.25" customHeight="1" x14ac:dyDescent="0.3">
      <c r="A1" s="320" t="s">
        <v>716</v>
      </c>
      <c r="I1" s="247"/>
      <c r="J1" s="248"/>
    </row>
    <row r="2" spans="1:10" x14ac:dyDescent="0.3">
      <c r="A2" s="320" t="s">
        <v>267</v>
      </c>
    </row>
    <row r="3" spans="1:10" x14ac:dyDescent="0.3">
      <c r="A3" s="320" t="s">
        <v>268</v>
      </c>
    </row>
    <row r="4" spans="1:10" s="24" customFormat="1" x14ac:dyDescent="0.3">
      <c r="A4" s="327" t="s">
        <v>269</v>
      </c>
      <c r="C4" s="43"/>
      <c r="D4" s="43"/>
      <c r="E4" s="43"/>
      <c r="F4" s="43"/>
      <c r="G4" s="43"/>
      <c r="H4" s="43"/>
      <c r="I4" s="623" t="s">
        <v>412</v>
      </c>
      <c r="J4" s="624"/>
    </row>
    <row r="5" spans="1:10" s="24" customFormat="1" x14ac:dyDescent="0.3">
      <c r="A5" s="21" t="s">
        <v>3</v>
      </c>
      <c r="B5" s="21" t="s">
        <v>4</v>
      </c>
      <c r="C5" s="22">
        <v>2021</v>
      </c>
      <c r="D5" s="22">
        <f>C5+1</f>
        <v>2022</v>
      </c>
      <c r="E5" s="22">
        <f>D5+1</f>
        <v>2023</v>
      </c>
      <c r="F5" s="22">
        <f>E5+1</f>
        <v>2024</v>
      </c>
      <c r="G5" s="22">
        <f>F5+1</f>
        <v>2025</v>
      </c>
      <c r="H5" s="22">
        <f>G5+1</f>
        <v>2026</v>
      </c>
      <c r="I5" s="21" t="s">
        <v>3</v>
      </c>
      <c r="J5" s="21" t="s">
        <v>2</v>
      </c>
    </row>
    <row r="6" spans="1:10" ht="19.5" customHeight="1" x14ac:dyDescent="0.3">
      <c r="A6" s="44"/>
      <c r="B6" s="520"/>
      <c r="C6" s="299"/>
      <c r="D6" s="17"/>
      <c r="E6" s="17"/>
      <c r="F6" s="17"/>
      <c r="G6" s="17"/>
      <c r="H6" s="17"/>
      <c r="I6" s="42"/>
      <c r="J6" s="42"/>
    </row>
    <row r="7" spans="1:10" s="13" customFormat="1" ht="18" x14ac:dyDescent="0.35">
      <c r="A7" s="44"/>
      <c r="B7" s="520"/>
      <c r="C7" s="300"/>
      <c r="D7" s="18"/>
      <c r="E7" s="18"/>
      <c r="F7" s="17"/>
      <c r="G7" s="17"/>
      <c r="H7" s="17"/>
      <c r="I7" s="100"/>
      <c r="J7" s="31"/>
    </row>
    <row r="8" spans="1:10" s="13" customFormat="1" ht="18" x14ac:dyDescent="0.35">
      <c r="A8" s="168"/>
      <c r="B8" s="101"/>
      <c r="C8" s="299"/>
      <c r="D8" s="61"/>
      <c r="E8" s="61"/>
      <c r="F8" s="39"/>
      <c r="G8" s="39"/>
      <c r="H8" s="39"/>
      <c r="I8" s="39"/>
      <c r="J8" s="39"/>
    </row>
    <row r="9" spans="1:10" s="13" customFormat="1" ht="18" x14ac:dyDescent="0.35">
      <c r="A9" s="29"/>
      <c r="B9" s="20"/>
      <c r="C9" s="300"/>
      <c r="D9" s="19"/>
      <c r="E9" s="18"/>
      <c r="F9" s="17"/>
      <c r="G9" s="17"/>
      <c r="H9" s="17"/>
      <c r="I9" s="41" t="s">
        <v>9</v>
      </c>
      <c r="J9" s="31"/>
    </row>
    <row r="10" spans="1:10" ht="28.5" customHeight="1" thickBot="1" x14ac:dyDescent="0.35">
      <c r="A10" s="12"/>
      <c r="B10" s="11" t="s">
        <v>0</v>
      </c>
      <c r="C10" s="452">
        <f>SUM(C6:C9)</f>
        <v>0</v>
      </c>
      <c r="D10" s="40">
        <f t="shared" ref="D10:H10" si="0">SUM(D6:D9)</f>
        <v>0</v>
      </c>
      <c r="E10" s="40">
        <f t="shared" si="0"/>
        <v>0</v>
      </c>
      <c r="F10" s="40">
        <f t="shared" si="0"/>
        <v>0</v>
      </c>
      <c r="G10" s="40">
        <f t="shared" si="0"/>
        <v>0</v>
      </c>
      <c r="H10" s="40">
        <f t="shared" si="0"/>
        <v>0</v>
      </c>
      <c r="I10" s="40">
        <f>SUM(C10:H10)</f>
        <v>0</v>
      </c>
      <c r="J10" s="38">
        <f>SUM(J6:J9)</f>
        <v>0</v>
      </c>
    </row>
    <row r="11" spans="1:10" ht="14.4" thickTop="1" x14ac:dyDescent="0.3"/>
    <row r="12" spans="1:10" x14ac:dyDescent="0.3">
      <c r="A12" s="324" t="s">
        <v>411</v>
      </c>
      <c r="B12" s="35">
        <v>0</v>
      </c>
      <c r="G12" s="36"/>
      <c r="H12" s="36"/>
    </row>
    <row r="13" spans="1:10" s="102" customFormat="1" x14ac:dyDescent="0.3">
      <c r="B13" s="319" t="s">
        <v>660</v>
      </c>
      <c r="C13" s="239">
        <v>192000</v>
      </c>
      <c r="D13" s="239">
        <f>C17</f>
        <v>192000</v>
      </c>
      <c r="E13" s="239">
        <f t="shared" ref="E13:H13" si="1">D17</f>
        <v>192000</v>
      </c>
      <c r="F13" s="239">
        <f t="shared" si="1"/>
        <v>192000</v>
      </c>
      <c r="G13" s="239">
        <f t="shared" si="1"/>
        <v>192000</v>
      </c>
      <c r="H13" s="239">
        <f t="shared" si="1"/>
        <v>192000</v>
      </c>
      <c r="I13" s="85"/>
    </row>
    <row r="14" spans="1:10" s="102" customFormat="1" x14ac:dyDescent="0.3">
      <c r="B14" s="334" t="s">
        <v>154</v>
      </c>
      <c r="C14" s="123">
        <v>0</v>
      </c>
      <c r="D14" s="123">
        <v>0</v>
      </c>
      <c r="E14" s="123">
        <v>0</v>
      </c>
      <c r="F14" s="123">
        <v>0</v>
      </c>
      <c r="G14" s="123">
        <v>0</v>
      </c>
      <c r="H14" s="123">
        <v>0</v>
      </c>
      <c r="I14" s="85"/>
    </row>
    <row r="15" spans="1:10" s="102" customFormat="1" x14ac:dyDescent="0.3">
      <c r="B15" s="334" t="s">
        <v>16</v>
      </c>
      <c r="C15" s="239">
        <v>0</v>
      </c>
      <c r="D15" s="324">
        <v>0</v>
      </c>
      <c r="E15" s="324">
        <v>0</v>
      </c>
      <c r="F15" s="324">
        <v>0</v>
      </c>
      <c r="G15" s="324">
        <v>0</v>
      </c>
      <c r="H15" s="324">
        <v>0</v>
      </c>
      <c r="I15" s="85"/>
    </row>
    <row r="16" spans="1:10" s="102" customFormat="1" ht="15.6" x14ac:dyDescent="0.45">
      <c r="B16" s="65" t="s">
        <v>36</v>
      </c>
      <c r="C16" s="193">
        <f t="shared" ref="C16:H16" si="2">C10</f>
        <v>0</v>
      </c>
      <c r="D16" s="325">
        <f t="shared" si="2"/>
        <v>0</v>
      </c>
      <c r="E16" s="325">
        <f t="shared" si="2"/>
        <v>0</v>
      </c>
      <c r="F16" s="325">
        <f t="shared" si="2"/>
        <v>0</v>
      </c>
      <c r="G16" s="325">
        <f t="shared" si="2"/>
        <v>0</v>
      </c>
      <c r="H16" s="325">
        <f t="shared" si="2"/>
        <v>0</v>
      </c>
      <c r="I16" s="85"/>
    </row>
    <row r="17" spans="2:8" ht="15.6" x14ac:dyDescent="0.45">
      <c r="B17" s="79" t="s">
        <v>37</v>
      </c>
      <c r="C17" s="63">
        <f>SUM(C13:C16)</f>
        <v>192000</v>
      </c>
      <c r="D17" s="289">
        <f t="shared" ref="D17:H17" si="3">SUM(D13:D16)</f>
        <v>192000</v>
      </c>
      <c r="E17" s="289">
        <f t="shared" si="3"/>
        <v>192000</v>
      </c>
      <c r="F17" s="289">
        <f t="shared" si="3"/>
        <v>192000</v>
      </c>
      <c r="G17" s="289">
        <f t="shared" si="3"/>
        <v>192000</v>
      </c>
      <c r="H17" s="289">
        <f t="shared" si="3"/>
        <v>192000</v>
      </c>
    </row>
    <row r="21" spans="2:8" x14ac:dyDescent="0.3">
      <c r="B21" t="s">
        <v>35</v>
      </c>
    </row>
    <row r="22" spans="2:8" x14ac:dyDescent="0.3">
      <c r="B22" t="s">
        <v>67</v>
      </c>
      <c r="C22"/>
      <c r="D22"/>
      <c r="E22"/>
      <c r="F22"/>
    </row>
    <row r="23" spans="2:8" x14ac:dyDescent="0.3">
      <c r="B23">
        <v>2016</v>
      </c>
      <c r="C23" t="s">
        <v>28</v>
      </c>
      <c r="D23"/>
      <c r="E23" s="58">
        <v>18000</v>
      </c>
      <c r="F23"/>
    </row>
    <row r="24" spans="2:8" x14ac:dyDescent="0.3">
      <c r="B24">
        <v>2016</v>
      </c>
      <c r="C24" t="s">
        <v>29</v>
      </c>
      <c r="D24"/>
      <c r="E24" s="4">
        <v>17900</v>
      </c>
      <c r="F24"/>
    </row>
    <row r="25" spans="2:8" x14ac:dyDescent="0.3">
      <c r="B25">
        <v>2013</v>
      </c>
      <c r="C25" t="s">
        <v>30</v>
      </c>
      <c r="D25"/>
      <c r="E25" s="4">
        <v>52500</v>
      </c>
      <c r="F25"/>
    </row>
    <row r="26" spans="2:8" ht="15.6" x14ac:dyDescent="0.45">
      <c r="B26">
        <v>2011</v>
      </c>
      <c r="C26" t="s">
        <v>31</v>
      </c>
      <c r="D26"/>
      <c r="E26" s="56">
        <v>50000</v>
      </c>
      <c r="F26" s="59">
        <f>SUM(E23:E26)</f>
        <v>138400</v>
      </c>
    </row>
    <row r="27" spans="2:8" x14ac:dyDescent="0.3">
      <c r="B27" t="s">
        <v>32</v>
      </c>
      <c r="C27" t="s">
        <v>33</v>
      </c>
      <c r="D27"/>
      <c r="E27"/>
      <c r="F27" s="4">
        <v>40000</v>
      </c>
    </row>
    <row r="28" spans="2:8" ht="15.6" x14ac:dyDescent="0.45">
      <c r="B28" t="s">
        <v>34</v>
      </c>
      <c r="C28"/>
      <c r="D28"/>
      <c r="E28"/>
      <c r="F28" s="56">
        <v>45000</v>
      </c>
    </row>
    <row r="29" spans="2:8" ht="15.6" x14ac:dyDescent="0.45">
      <c r="C29"/>
      <c r="D29"/>
      <c r="E29"/>
      <c r="F29" s="57">
        <f>SUM(F26:F28)</f>
        <v>223400</v>
      </c>
    </row>
    <row r="33" spans="2:2" ht="69" x14ac:dyDescent="0.3">
      <c r="B33" s="101" t="s">
        <v>186</v>
      </c>
    </row>
  </sheetData>
  <mergeCells count="1">
    <mergeCell ref="I4:J4"/>
  </mergeCells>
  <pageMargins left="0.7" right="0.7" top="0.75" bottom="0.75" header="0.3" footer="0.3"/>
  <pageSetup orientation="landscape" r:id="rId1"/>
  <headerFooter>
    <oddHeader>&amp;C&amp;"-,Bold"&amp;12CIP DEPARTMENT INFORMATION REQUEST FORM
DEPARTMENT:   CONSERVATION LAND ACQUISITION</oddHeader>
    <oddFooter>&amp;L&amp;A&amp;RPage &amp;P of &amp;N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view="pageBreakPreview" zoomScaleNormal="100" zoomScaleSheetLayoutView="100" workbookViewId="0">
      <selection activeCell="I16" sqref="I16"/>
    </sheetView>
  </sheetViews>
  <sheetFormatPr defaultColWidth="9" defaultRowHeight="13.8" x14ac:dyDescent="0.3"/>
  <cols>
    <col min="1" max="1" width="25" style="277" customWidth="1"/>
    <col min="2" max="2" width="22.109375" style="277" customWidth="1"/>
    <col min="3" max="3" width="11" style="277" bestFit="1" customWidth="1"/>
    <col min="4" max="8" width="9" style="277"/>
    <col min="9" max="9" width="17.109375" style="277" customWidth="1"/>
    <col min="10" max="10" width="12.44140625" style="277" customWidth="1"/>
    <col min="11" max="16384" width="9" style="277"/>
  </cols>
  <sheetData>
    <row r="1" spans="1:10" ht="20.25" customHeight="1" x14ac:dyDescent="0.3">
      <c r="A1" s="278" t="s">
        <v>716</v>
      </c>
      <c r="I1" s="247"/>
      <c r="J1" s="248"/>
    </row>
    <row r="2" spans="1:10" x14ac:dyDescent="0.3">
      <c r="A2" s="278" t="s">
        <v>267</v>
      </c>
      <c r="I2" s="274"/>
      <c r="J2" s="295"/>
    </row>
    <row r="3" spans="1:10" x14ac:dyDescent="0.3">
      <c r="A3" s="278" t="s">
        <v>268</v>
      </c>
    </row>
    <row r="4" spans="1:10" s="279" customFormat="1" x14ac:dyDescent="0.3">
      <c r="A4" s="297" t="s">
        <v>269</v>
      </c>
      <c r="I4" s="623" t="s">
        <v>412</v>
      </c>
      <c r="J4" s="624"/>
    </row>
    <row r="5" spans="1:10" s="279" customFormat="1" x14ac:dyDescent="0.3">
      <c r="A5" s="280" t="s">
        <v>3</v>
      </c>
      <c r="B5" s="280" t="s">
        <v>8</v>
      </c>
      <c r="C5" s="281">
        <v>2021</v>
      </c>
      <c r="D5" s="281">
        <f>C5+1</f>
        <v>2022</v>
      </c>
      <c r="E5" s="281">
        <f>D5+1</f>
        <v>2023</v>
      </c>
      <c r="F5" s="281">
        <f>E5+1</f>
        <v>2024</v>
      </c>
      <c r="G5" s="281">
        <f>F5+1</f>
        <v>2025</v>
      </c>
      <c r="H5" s="281">
        <f>G5+1</f>
        <v>2026</v>
      </c>
      <c r="I5" s="280" t="s">
        <v>3</v>
      </c>
      <c r="J5" s="280" t="s">
        <v>2</v>
      </c>
    </row>
    <row r="6" spans="1:10" s="283" customFormat="1" ht="138" x14ac:dyDescent="0.35">
      <c r="A6" s="275" t="s">
        <v>291</v>
      </c>
      <c r="B6" s="303" t="s">
        <v>290</v>
      </c>
      <c r="C6" s="293"/>
      <c r="D6" s="293"/>
      <c r="E6" s="293"/>
      <c r="F6" s="293"/>
      <c r="G6" s="293"/>
      <c r="H6" s="293"/>
      <c r="I6" s="370" t="s">
        <v>394</v>
      </c>
      <c r="J6" s="293">
        <v>150000</v>
      </c>
    </row>
    <row r="7" spans="1:10" s="283" customFormat="1" ht="18" x14ac:dyDescent="0.35">
      <c r="A7" s="275" t="s">
        <v>292</v>
      </c>
      <c r="B7" s="304" t="s">
        <v>293</v>
      </c>
      <c r="C7" s="290"/>
      <c r="D7" s="310"/>
      <c r="E7" s="311"/>
      <c r="F7" s="309"/>
      <c r="G7" s="309"/>
      <c r="H7" s="309"/>
      <c r="I7" s="309"/>
      <c r="J7" s="293">
        <v>20000</v>
      </c>
    </row>
    <row r="8" spans="1:10" s="283" customFormat="1" ht="18" x14ac:dyDescent="0.35">
      <c r="A8" s="305"/>
      <c r="B8" s="306"/>
      <c r="C8" s="293"/>
      <c r="D8" s="291"/>
      <c r="E8" s="291"/>
      <c r="F8" s="291"/>
      <c r="G8" s="291"/>
      <c r="H8" s="291"/>
      <c r="I8" s="309"/>
      <c r="J8" s="309"/>
    </row>
    <row r="9" spans="1:10" s="283" customFormat="1" ht="18" x14ac:dyDescent="0.35">
      <c r="A9" s="305"/>
      <c r="B9" s="305"/>
      <c r="C9" s="291"/>
      <c r="D9" s="291"/>
      <c r="E9" s="291"/>
      <c r="F9" s="291"/>
      <c r="G9" s="291"/>
      <c r="H9" s="291"/>
      <c r="I9" s="312" t="s">
        <v>1</v>
      </c>
      <c r="J9" s="345"/>
    </row>
    <row r="10" spans="1:10" ht="28.5" customHeight="1" thickBot="1" x14ac:dyDescent="0.35">
      <c r="A10" s="284"/>
      <c r="B10" s="285" t="s">
        <v>0</v>
      </c>
      <c r="C10" s="307">
        <f t="shared" ref="C10:H10" si="0">SUM(C6:C9)</f>
        <v>0</v>
      </c>
      <c r="D10" s="307">
        <f t="shared" si="0"/>
        <v>0</v>
      </c>
      <c r="E10" s="307">
        <f t="shared" si="0"/>
        <v>0</v>
      </c>
      <c r="F10" s="307">
        <f t="shared" si="0"/>
        <v>0</v>
      </c>
      <c r="G10" s="307">
        <f t="shared" si="0"/>
        <v>0</v>
      </c>
      <c r="H10" s="307">
        <f t="shared" si="0"/>
        <v>0</v>
      </c>
      <c r="I10" s="307">
        <f>SUM(C10:H10)</f>
        <v>0</v>
      </c>
      <c r="J10" s="346">
        <f>SUM(J6:J9)</f>
        <v>170000</v>
      </c>
    </row>
    <row r="11" spans="1:10" ht="14.4" thickTop="1" x14ac:dyDescent="0.3">
      <c r="A11" s="308"/>
      <c r="B11" s="308"/>
      <c r="C11" s="308"/>
      <c r="D11" s="308"/>
      <c r="E11" s="308"/>
      <c r="F11" s="308"/>
      <c r="G11" s="308"/>
      <c r="H11" s="308"/>
      <c r="I11" s="308"/>
      <c r="J11" s="308"/>
    </row>
    <row r="12" spans="1:10" x14ac:dyDescent="0.3">
      <c r="A12" s="308"/>
      <c r="B12" s="326" t="s">
        <v>411</v>
      </c>
      <c r="C12" s="292">
        <v>17000</v>
      </c>
      <c r="D12" s="308"/>
      <c r="E12" s="308"/>
      <c r="F12" s="308"/>
      <c r="G12" s="308"/>
      <c r="H12" s="308"/>
      <c r="I12" s="308"/>
      <c r="J12" s="308"/>
    </row>
    <row r="13" spans="1:10" x14ac:dyDescent="0.3">
      <c r="A13" s="308"/>
      <c r="B13" s="308"/>
      <c r="C13" s="85"/>
      <c r="D13" s="308"/>
      <c r="E13" s="308"/>
      <c r="F13" s="308"/>
      <c r="G13" s="308"/>
      <c r="H13" s="308"/>
      <c r="I13" s="308"/>
      <c r="J13" s="308"/>
    </row>
    <row r="14" spans="1:10" x14ac:dyDescent="0.3">
      <c r="A14" s="92" t="s">
        <v>643</v>
      </c>
      <c r="B14" s="319" t="s">
        <v>660</v>
      </c>
      <c r="C14" s="287">
        <v>17000</v>
      </c>
      <c r="D14" s="287">
        <f>C19</f>
        <v>13600</v>
      </c>
      <c r="E14" s="287">
        <f t="shared" ref="E14:H14" si="1">D19</f>
        <v>13600</v>
      </c>
      <c r="F14" s="287">
        <f t="shared" si="1"/>
        <v>13600</v>
      </c>
      <c r="G14" s="287">
        <f t="shared" si="1"/>
        <v>13600</v>
      </c>
      <c r="H14" s="287">
        <f t="shared" si="1"/>
        <v>13600</v>
      </c>
    </row>
    <row r="15" spans="1:10" s="319" customFormat="1" x14ac:dyDescent="0.3">
      <c r="B15" s="65" t="s">
        <v>642</v>
      </c>
      <c r="C15" s="287">
        <v>-8400</v>
      </c>
      <c r="D15" s="287">
        <v>0</v>
      </c>
      <c r="E15" s="287">
        <f t="shared" ref="E15:H15" si="2">D15</f>
        <v>0</v>
      </c>
      <c r="F15" s="287">
        <f t="shared" si="2"/>
        <v>0</v>
      </c>
      <c r="G15" s="287">
        <f t="shared" si="2"/>
        <v>0</v>
      </c>
      <c r="H15" s="287">
        <f t="shared" si="2"/>
        <v>0</v>
      </c>
    </row>
    <row r="16" spans="1:10" x14ac:dyDescent="0.3">
      <c r="B16" s="65" t="s">
        <v>281</v>
      </c>
      <c r="C16" s="324">
        <v>5000</v>
      </c>
      <c r="D16" s="324">
        <v>0</v>
      </c>
      <c r="E16" s="324">
        <f t="shared" ref="E16" si="3">D16</f>
        <v>0</v>
      </c>
      <c r="F16" s="324">
        <f t="shared" ref="F16" si="4">E16</f>
        <v>0</v>
      </c>
      <c r="G16" s="324">
        <f t="shared" ref="G16" si="5">F16</f>
        <v>0</v>
      </c>
      <c r="H16" s="324">
        <f t="shared" ref="H16" si="6">G16</f>
        <v>0</v>
      </c>
      <c r="I16" s="277" t="s">
        <v>789</v>
      </c>
    </row>
    <row r="17" spans="2:8" x14ac:dyDescent="0.3">
      <c r="B17" s="65" t="s">
        <v>289</v>
      </c>
      <c r="C17" s="287">
        <v>0</v>
      </c>
      <c r="D17" s="287">
        <f>C17</f>
        <v>0</v>
      </c>
      <c r="E17" s="287">
        <v>0</v>
      </c>
      <c r="F17" s="287">
        <f t="shared" ref="F17" si="7">E17</f>
        <v>0</v>
      </c>
      <c r="G17" s="287">
        <f t="shared" ref="G17" si="8">F17</f>
        <v>0</v>
      </c>
      <c r="H17" s="287">
        <f t="shared" ref="H17" si="9">G17</f>
        <v>0</v>
      </c>
    </row>
    <row r="18" spans="2:8" ht="15.6" x14ac:dyDescent="0.45">
      <c r="B18" s="65" t="s">
        <v>36</v>
      </c>
      <c r="C18" s="288">
        <f>-C10</f>
        <v>0</v>
      </c>
      <c r="D18" s="288">
        <f t="shared" ref="D18:H18" si="10">-D10</f>
        <v>0</v>
      </c>
      <c r="E18" s="288">
        <f t="shared" si="10"/>
        <v>0</v>
      </c>
      <c r="F18" s="288">
        <f t="shared" si="10"/>
        <v>0</v>
      </c>
      <c r="G18" s="288">
        <f t="shared" si="10"/>
        <v>0</v>
      </c>
      <c r="H18" s="288">
        <f t="shared" si="10"/>
        <v>0</v>
      </c>
    </row>
    <row r="19" spans="2:8" ht="15.6" x14ac:dyDescent="0.45">
      <c r="B19" s="79" t="s">
        <v>37</v>
      </c>
      <c r="C19" s="289">
        <f t="shared" ref="C19:H19" si="11">SUM(C14:C18)</f>
        <v>13600</v>
      </c>
      <c r="D19" s="289">
        <f t="shared" si="11"/>
        <v>13600</v>
      </c>
      <c r="E19" s="289">
        <f t="shared" si="11"/>
        <v>13600</v>
      </c>
      <c r="F19" s="289">
        <f t="shared" si="11"/>
        <v>13600</v>
      </c>
      <c r="G19" s="289">
        <f t="shared" si="11"/>
        <v>13600</v>
      </c>
      <c r="H19" s="289">
        <f t="shared" si="11"/>
        <v>13600</v>
      </c>
    </row>
  </sheetData>
  <mergeCells count="1">
    <mergeCell ref="I4:J4"/>
  </mergeCells>
  <pageMargins left="0.7" right="0.7" top="0.75" bottom="0.75" header="0.3" footer="0.3"/>
  <pageSetup orientation="landscape" r:id="rId1"/>
  <headerFooter>
    <oddHeader>&amp;C&amp;"-,Bold"&amp;12CIP DEPARTMENT INFORMATION REQUEST FORM
DEPARTMENT: GRANGE HALL (NRF)</oddHeader>
    <oddFooter>&amp;L&amp;A&amp;RPage &amp;P of &amp;N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view="pageBreakPreview" zoomScaleNormal="100" zoomScaleSheetLayoutView="100" workbookViewId="0">
      <selection activeCell="C11" sqref="C11"/>
    </sheetView>
  </sheetViews>
  <sheetFormatPr defaultColWidth="9" defaultRowHeight="13.8" x14ac:dyDescent="0.3"/>
  <cols>
    <col min="1" max="1" width="25" customWidth="1"/>
    <col min="2" max="2" width="23.44140625" customWidth="1"/>
    <col min="3" max="3" width="9.88671875" bestFit="1" customWidth="1"/>
    <col min="9" max="9" width="15.5546875" customWidth="1"/>
    <col min="10" max="10" width="12.44140625" customWidth="1"/>
  </cols>
  <sheetData>
    <row r="1" spans="1:16" ht="20.25" customHeight="1" x14ac:dyDescent="0.3">
      <c r="A1" s="320" t="s">
        <v>716</v>
      </c>
      <c r="I1" s="247"/>
      <c r="J1" s="248"/>
    </row>
    <row r="2" spans="1:16" x14ac:dyDescent="0.3">
      <c r="A2" s="320" t="s">
        <v>267</v>
      </c>
    </row>
    <row r="3" spans="1:16" x14ac:dyDescent="0.3">
      <c r="A3" s="320" t="s">
        <v>268</v>
      </c>
    </row>
    <row r="4" spans="1:16" s="24" customFormat="1" x14ac:dyDescent="0.3">
      <c r="A4" s="327" t="s">
        <v>269</v>
      </c>
      <c r="I4" s="623" t="s">
        <v>412</v>
      </c>
      <c r="J4" s="624"/>
    </row>
    <row r="5" spans="1:16" s="24" customFormat="1" x14ac:dyDescent="0.3">
      <c r="A5" s="21" t="s">
        <v>3</v>
      </c>
      <c r="B5" s="21" t="s">
        <v>8</v>
      </c>
      <c r="C5" s="22">
        <v>2021</v>
      </c>
      <c r="D5" s="22">
        <f>C5+1</f>
        <v>2022</v>
      </c>
      <c r="E5" s="22">
        <f>D5+1</f>
        <v>2023</v>
      </c>
      <c r="F5" s="22">
        <f>E5+1</f>
        <v>2024</v>
      </c>
      <c r="G5" s="22">
        <f>F5+1</f>
        <v>2025</v>
      </c>
      <c r="H5" s="22">
        <f>G5+1</f>
        <v>2026</v>
      </c>
      <c r="I5" s="21" t="s">
        <v>3</v>
      </c>
      <c r="J5" s="21" t="s">
        <v>2</v>
      </c>
    </row>
    <row r="6" spans="1:16" s="13" customFormat="1" ht="18" x14ac:dyDescent="0.35">
      <c r="A6" s="33" t="s">
        <v>13</v>
      </c>
      <c r="B6" s="69"/>
      <c r="C6" s="18"/>
      <c r="D6" s="20"/>
      <c r="E6" s="28"/>
      <c r="F6" s="28"/>
      <c r="G6" s="323">
        <v>25000</v>
      </c>
      <c r="H6" s="28"/>
      <c r="I6" s="28"/>
      <c r="J6" s="28"/>
    </row>
    <row r="7" spans="1:16" s="13" customFormat="1" ht="18" x14ac:dyDescent="0.35">
      <c r="A7" s="33"/>
      <c r="B7" s="69"/>
      <c r="C7" s="18"/>
      <c r="D7" s="20"/>
      <c r="E7" s="28"/>
      <c r="F7" s="28"/>
      <c r="G7" s="28"/>
      <c r="H7" s="28"/>
      <c r="I7" s="41" t="s">
        <v>9</v>
      </c>
      <c r="J7" s="28"/>
    </row>
    <row r="8" spans="1:16" ht="28.5" customHeight="1" thickBot="1" x14ac:dyDescent="0.35">
      <c r="A8" s="33"/>
      <c r="B8" s="11" t="s">
        <v>0</v>
      </c>
      <c r="C8" s="1">
        <f>SUM(C6:C7)</f>
        <v>0</v>
      </c>
      <c r="D8" s="192">
        <f t="shared" ref="D8:H8" si="0">SUM(D6:D7)</f>
        <v>0</v>
      </c>
      <c r="E8" s="192">
        <f t="shared" si="0"/>
        <v>0</v>
      </c>
      <c r="F8" s="192">
        <f t="shared" si="0"/>
        <v>0</v>
      </c>
      <c r="G8" s="192">
        <f t="shared" si="0"/>
        <v>25000</v>
      </c>
      <c r="H8" s="192">
        <f t="shared" si="0"/>
        <v>0</v>
      </c>
      <c r="I8" s="10">
        <f>SUM(C8:H8)</f>
        <v>25000</v>
      </c>
      <c r="J8" s="30"/>
    </row>
    <row r="9" spans="1:16" ht="14.4" thickTop="1" x14ac:dyDescent="0.3">
      <c r="E9" s="4"/>
      <c r="I9" s="4"/>
    </row>
    <row r="10" spans="1:16" x14ac:dyDescent="0.3">
      <c r="B10" s="324" t="s">
        <v>411</v>
      </c>
      <c r="C10" s="323">
        <v>0</v>
      </c>
      <c r="D10" s="4"/>
      <c r="E10" s="4"/>
      <c r="K10" s="319"/>
      <c r="L10" s="319"/>
      <c r="M10" s="319"/>
      <c r="N10" s="319"/>
      <c r="O10" s="319"/>
      <c r="P10" s="319"/>
    </row>
    <row r="11" spans="1:16" s="102" customFormat="1" x14ac:dyDescent="0.3">
      <c r="A11" s="103"/>
      <c r="I11" s="4"/>
      <c r="J11" s="4"/>
      <c r="K11" s="319"/>
      <c r="L11" s="319"/>
      <c r="M11" s="319"/>
      <c r="N11" s="319"/>
      <c r="O11" s="319"/>
      <c r="P11" s="319"/>
    </row>
    <row r="12" spans="1:16" x14ac:dyDescent="0.3">
      <c r="A12" s="76"/>
      <c r="B12" s="319" t="s">
        <v>660</v>
      </c>
      <c r="C12" s="324">
        <v>105000</v>
      </c>
      <c r="D12" s="4">
        <f>C17</f>
        <v>105000</v>
      </c>
      <c r="E12" s="4">
        <f t="shared" ref="E12:H12" si="1">D17</f>
        <v>105000</v>
      </c>
      <c r="F12" s="4">
        <f t="shared" si="1"/>
        <v>105000</v>
      </c>
      <c r="G12" s="4">
        <f t="shared" si="1"/>
        <v>105000</v>
      </c>
      <c r="H12" s="4">
        <f t="shared" si="1"/>
        <v>80000</v>
      </c>
      <c r="I12" s="45" t="s">
        <v>115</v>
      </c>
      <c r="K12" s="319"/>
      <c r="L12" s="319"/>
      <c r="M12" s="319"/>
      <c r="N12" s="319"/>
      <c r="O12" s="319"/>
      <c r="P12" s="319"/>
    </row>
    <row r="13" spans="1:16" s="319" customFormat="1" x14ac:dyDescent="0.3">
      <c r="A13" s="76"/>
      <c r="B13" s="65" t="s">
        <v>742</v>
      </c>
      <c r="C13" s="324">
        <v>0</v>
      </c>
      <c r="D13" s="46">
        <v>0</v>
      </c>
      <c r="E13" s="46">
        <v>0</v>
      </c>
      <c r="F13" s="46">
        <v>0</v>
      </c>
      <c r="G13" s="46">
        <v>0</v>
      </c>
      <c r="H13" s="46">
        <v>0</v>
      </c>
      <c r="I13" s="103"/>
    </row>
    <row r="14" spans="1:16" x14ac:dyDescent="0.3">
      <c r="A14" s="45"/>
      <c r="B14" s="65" t="s">
        <v>281</v>
      </c>
      <c r="C14" s="46">
        <v>0</v>
      </c>
      <c r="D14" s="46">
        <v>0</v>
      </c>
      <c r="E14" s="46">
        <v>0</v>
      </c>
      <c r="F14" s="46">
        <v>0</v>
      </c>
      <c r="G14" s="46">
        <v>0</v>
      </c>
      <c r="H14" s="46">
        <v>0</v>
      </c>
      <c r="I14" s="82" t="s">
        <v>116</v>
      </c>
      <c r="K14" s="319"/>
      <c r="L14" s="319"/>
      <c r="M14" s="319"/>
      <c r="N14" s="319"/>
      <c r="O14" s="319"/>
      <c r="P14" s="319"/>
    </row>
    <row r="15" spans="1:16" x14ac:dyDescent="0.3">
      <c r="A15" s="45"/>
      <c r="B15" s="65" t="s">
        <v>53</v>
      </c>
      <c r="C15" s="46">
        <v>0</v>
      </c>
      <c r="D15" s="46">
        <v>0</v>
      </c>
      <c r="E15" s="46">
        <v>0</v>
      </c>
      <c r="F15" s="46">
        <v>0</v>
      </c>
      <c r="G15" s="46">
        <v>0</v>
      </c>
      <c r="H15" s="46">
        <v>0</v>
      </c>
      <c r="I15" s="82" t="s">
        <v>117</v>
      </c>
      <c r="K15" s="319"/>
      <c r="L15" s="319"/>
      <c r="M15" s="319"/>
      <c r="N15" s="319"/>
      <c r="O15" s="319"/>
      <c r="P15" s="319"/>
    </row>
    <row r="16" spans="1:16" ht="15.6" x14ac:dyDescent="0.45">
      <c r="A16" s="45"/>
      <c r="B16" s="65" t="s">
        <v>15</v>
      </c>
      <c r="C16" s="66">
        <f>-C8</f>
        <v>0</v>
      </c>
      <c r="D16" s="66">
        <f t="shared" ref="D16:H16" si="2">-D8</f>
        <v>0</v>
      </c>
      <c r="E16" s="66">
        <f t="shared" si="2"/>
        <v>0</v>
      </c>
      <c r="F16" s="66">
        <f t="shared" si="2"/>
        <v>0</v>
      </c>
      <c r="G16" s="66">
        <f t="shared" si="2"/>
        <v>-25000</v>
      </c>
      <c r="H16" s="66">
        <f t="shared" si="2"/>
        <v>0</v>
      </c>
      <c r="K16" s="319"/>
      <c r="L16" s="319"/>
      <c r="M16" s="319"/>
      <c r="N16" s="319"/>
      <c r="O16" s="319"/>
      <c r="P16" s="319"/>
    </row>
    <row r="17" spans="1:16" ht="15.6" x14ac:dyDescent="0.45">
      <c r="A17" s="45"/>
      <c r="B17" s="83" t="s">
        <v>14</v>
      </c>
      <c r="C17" s="67">
        <f t="shared" ref="C17:H17" si="3">SUM(C12:C16)</f>
        <v>105000</v>
      </c>
      <c r="D17" s="67">
        <f t="shared" si="3"/>
        <v>105000</v>
      </c>
      <c r="E17" s="67">
        <f t="shared" si="3"/>
        <v>105000</v>
      </c>
      <c r="F17" s="67">
        <f t="shared" si="3"/>
        <v>105000</v>
      </c>
      <c r="G17" s="67">
        <f t="shared" si="3"/>
        <v>80000</v>
      </c>
      <c r="H17" s="67">
        <f t="shared" si="3"/>
        <v>80000</v>
      </c>
      <c r="K17" s="319"/>
      <c r="L17" s="319"/>
      <c r="M17" s="319"/>
      <c r="N17" s="319"/>
      <c r="O17" s="319"/>
      <c r="P17" s="319"/>
    </row>
    <row r="18" spans="1:16" x14ac:dyDescent="0.3">
      <c r="A18" s="45"/>
      <c r="C18" s="3"/>
      <c r="D18" s="3"/>
      <c r="E18" s="3"/>
      <c r="F18" s="3"/>
      <c r="G18" s="3"/>
      <c r="H18" s="3"/>
      <c r="K18" s="319"/>
      <c r="L18" s="319"/>
      <c r="M18" s="319"/>
      <c r="N18" s="319"/>
      <c r="O18" s="319"/>
      <c r="P18" s="319"/>
    </row>
    <row r="19" spans="1:16" x14ac:dyDescent="0.3">
      <c r="K19" s="319"/>
      <c r="L19" s="319"/>
      <c r="M19" s="319"/>
      <c r="N19" s="319"/>
      <c r="O19" s="319"/>
      <c r="P19" s="319"/>
    </row>
    <row r="20" spans="1:16" x14ac:dyDescent="0.3">
      <c r="K20" s="319"/>
      <c r="L20" s="319"/>
      <c r="M20" s="319"/>
      <c r="N20" s="319"/>
      <c r="O20" s="319"/>
      <c r="P20" s="319"/>
    </row>
    <row r="21" spans="1:16" x14ac:dyDescent="0.3">
      <c r="K21" s="319"/>
      <c r="L21" s="319"/>
      <c r="M21" s="319"/>
      <c r="N21" s="319"/>
      <c r="O21" s="319"/>
      <c r="P21" s="319"/>
    </row>
    <row r="22" spans="1:16" x14ac:dyDescent="0.3">
      <c r="K22" s="319"/>
      <c r="L22" s="319"/>
      <c r="M22" s="319"/>
      <c r="N22" s="319"/>
      <c r="O22" s="319"/>
      <c r="P22" s="319"/>
    </row>
  </sheetData>
  <mergeCells count="1">
    <mergeCell ref="I4:J4"/>
  </mergeCells>
  <pageMargins left="0.7" right="0.7" top="0.75" bottom="0.75" header="0.3" footer="0.3"/>
  <pageSetup orientation="landscape" r:id="rId1"/>
  <headerFooter>
    <oddHeader>&amp;C&amp;"-,Bold"&amp;12CIP DEPARTMENT INFORMATION REQUEST FORM
DEPARTMENT: WHITCOMB HALL</oddHeader>
    <oddFooter>&amp;L&amp;A&amp;RPage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34</vt:i4>
      </vt:variant>
    </vt:vector>
  </HeadingPairs>
  <TitlesOfParts>
    <vt:vector size="72" baseType="lpstr">
      <vt:lpstr>Cover</vt:lpstr>
      <vt:lpstr>Comments</vt:lpstr>
      <vt:lpstr>2021 Cash Reserve Summary</vt:lpstr>
      <vt:lpstr>7 Yr Summary</vt:lpstr>
      <vt:lpstr>Cemetery Expansion</vt:lpstr>
      <vt:lpstr>DPW-CEM Equip</vt:lpstr>
      <vt:lpstr>DPW Fleet</vt:lpstr>
      <vt:lpstr>DPW Facilities</vt:lpstr>
      <vt:lpstr>DPW Road Rehab</vt:lpstr>
      <vt:lpstr>DPW Muni Trans &amp; Snow SW Fd</vt:lpstr>
      <vt:lpstr>DPW Road Maint. - MEMO</vt:lpstr>
      <vt:lpstr>DPW Sidewalks</vt:lpstr>
      <vt:lpstr>DPW Town Dams</vt:lpstr>
      <vt:lpstr>DPW Bridges</vt:lpstr>
      <vt:lpstr>DPW Covered Br</vt:lpstr>
      <vt:lpstr>EM Fac &amp; Com</vt:lpstr>
      <vt:lpstr>Fire Trucks</vt:lpstr>
      <vt:lpstr>Fire Fleet</vt:lpstr>
      <vt:lpstr>Fire Ponds</vt:lpstr>
      <vt:lpstr>Pond Comments</vt:lpstr>
      <vt:lpstr>Fire Tools</vt:lpstr>
      <vt:lpstr>Fire Sta CR</vt:lpstr>
      <vt:lpstr> Fire Sta. Maint ET</vt:lpstr>
      <vt:lpstr>PD Cruisers</vt:lpstr>
      <vt:lpstr>Police Fleet</vt:lpstr>
      <vt:lpstr>PD Other</vt:lpstr>
      <vt:lpstr>Town IMS</vt:lpstr>
      <vt:lpstr>Town Hall Expansion-Repairs</vt:lpstr>
      <vt:lpstr>Rail Trails</vt:lpstr>
      <vt:lpstr>Recreation</vt:lpstr>
      <vt:lpstr>Recycling</vt:lpstr>
      <vt:lpstr>Recycling Comments</vt:lpstr>
      <vt:lpstr>Lib-MCUL</vt:lpstr>
      <vt:lpstr>Lib-SFL</vt:lpstr>
      <vt:lpstr>CH</vt:lpstr>
      <vt:lpstr>Cons. Land Acq</vt:lpstr>
      <vt:lpstr>Grange</vt:lpstr>
      <vt:lpstr>WH</vt:lpstr>
      <vt:lpstr>' Fire Sta. Maint ET'!Print_Area</vt:lpstr>
      <vt:lpstr>'2021 Cash Reserve Summary'!Print_Area</vt:lpstr>
      <vt:lpstr>'7 Yr Summary'!Print_Area</vt:lpstr>
      <vt:lpstr>'Cemetery Expansion'!Print_Area</vt:lpstr>
      <vt:lpstr>CH!Print_Area</vt:lpstr>
      <vt:lpstr>Comments!Print_Area</vt:lpstr>
      <vt:lpstr>'Cons. Land Acq'!Print_Area</vt:lpstr>
      <vt:lpstr>Cover!Print_Area</vt:lpstr>
      <vt:lpstr>'DPW Bridges'!Print_Area</vt:lpstr>
      <vt:lpstr>'DPW Covered Br'!Print_Area</vt:lpstr>
      <vt:lpstr>'DPW Facilities'!Print_Area</vt:lpstr>
      <vt:lpstr>'DPW Muni Trans &amp; Snow SW Fd'!Print_Area</vt:lpstr>
      <vt:lpstr>'DPW Road Maint. - MEMO'!Print_Area</vt:lpstr>
      <vt:lpstr>'DPW Road Rehab'!Print_Area</vt:lpstr>
      <vt:lpstr>'DPW Sidewalks'!Print_Area</vt:lpstr>
      <vt:lpstr>'DPW Town Dams'!Print_Area</vt:lpstr>
      <vt:lpstr>'DPW-CEM Equip'!Print_Area</vt:lpstr>
      <vt:lpstr>'EM Fac &amp; Com'!Print_Area</vt:lpstr>
      <vt:lpstr>'Fire Ponds'!Print_Area</vt:lpstr>
      <vt:lpstr>'Fire Sta CR'!Print_Area</vt:lpstr>
      <vt:lpstr>'Fire Tools'!Print_Area</vt:lpstr>
      <vt:lpstr>'Fire Trucks'!Print_Area</vt:lpstr>
      <vt:lpstr>Grange!Print_Area</vt:lpstr>
      <vt:lpstr>'Lib-MCUL'!Print_Area</vt:lpstr>
      <vt:lpstr>'Lib-SFL'!Print_Area</vt:lpstr>
      <vt:lpstr>'PD Cruisers'!Print_Area</vt:lpstr>
      <vt:lpstr>'PD Other'!Print_Area</vt:lpstr>
      <vt:lpstr>'Pond Comments'!Print_Area</vt:lpstr>
      <vt:lpstr>'Rail Trails'!Print_Area</vt:lpstr>
      <vt:lpstr>Recreation!Print_Area</vt:lpstr>
      <vt:lpstr>Recycling!Print_Area</vt:lpstr>
      <vt:lpstr>'Town Hall Expansion-Repairs'!Print_Area</vt:lpstr>
      <vt:lpstr>'Town IMS'!Print_Area</vt:lpstr>
      <vt:lpstr>WH!Print_Area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desktop</dc:creator>
  <cp:lastModifiedBy>Michael T. Branley</cp:lastModifiedBy>
  <cp:lastPrinted>2020-11-20T21:20:11Z</cp:lastPrinted>
  <dcterms:created xsi:type="dcterms:W3CDTF">2016-10-23T12:28:25Z</dcterms:created>
  <dcterms:modified xsi:type="dcterms:W3CDTF">2021-10-12T18:29:30Z</dcterms:modified>
</cp:coreProperties>
</file>